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firstSheet="9" activeTab="24"/>
  </bookViews>
  <sheets>
    <sheet name="вой.64" sheetId="1" r:id="rId1"/>
    <sheet name="вой.66" sheetId="2" r:id="rId2"/>
    <sheet name="коп.3" sheetId="3" r:id="rId3"/>
    <sheet name="коп.5" sheetId="4" r:id="rId4"/>
    <sheet name="коп.7" sheetId="5" r:id="rId5"/>
    <sheet name="коп.8" sheetId="6" r:id="rId6"/>
    <sheet name="коп.10" sheetId="7" r:id="rId7"/>
    <sheet name="коп.15" sheetId="8" r:id="rId8"/>
    <sheet name="коп.17" sheetId="9" r:id="rId9"/>
    <sheet name="коп.19" sheetId="10" r:id="rId10"/>
    <sheet name="коп.23" sheetId="12" r:id="rId11"/>
    <sheet name="коп.25" sheetId="13" r:id="rId12"/>
    <sheet name="лин.23" sheetId="15" r:id="rId13"/>
    <sheet name="лин.25" sheetId="16" r:id="rId14"/>
    <sheet name="лин.27" sheetId="17" r:id="rId15"/>
    <sheet name="лин.30" sheetId="18" r:id="rId16"/>
    <sheet name="маг.4" sheetId="19" r:id="rId17"/>
    <sheet name="маг.6" sheetId="20" r:id="rId18"/>
    <sheet name="мар.рас.16" sheetId="21" r:id="rId19"/>
    <sheet name="мар.рас.22" sheetId="22" r:id="rId20"/>
    <sheet name="перс.1" sheetId="23" r:id="rId21"/>
    <sheet name="перс.3" sheetId="24" r:id="rId22"/>
    <sheet name="фест.4" sheetId="25" r:id="rId23"/>
    <sheet name="фест.8" sheetId="26" r:id="rId24"/>
    <sheet name="фест.10" sheetId="27" r:id="rId25"/>
  </sheets>
  <calcPr calcId="144525"/>
</workbook>
</file>

<file path=xl/calcChain.xml><?xml version="1.0" encoding="utf-8"?>
<calcChain xmlns="http://schemas.openxmlformats.org/spreadsheetml/2006/main">
  <c r="G26" i="27" l="1"/>
  <c r="F26" i="27"/>
  <c r="G27" i="26"/>
  <c r="F27" i="26"/>
  <c r="G27" i="25"/>
  <c r="F27" i="25"/>
  <c r="G27" i="22"/>
  <c r="F27" i="22"/>
  <c r="G26" i="21"/>
  <c r="F26" i="21"/>
  <c r="E40" i="20"/>
  <c r="E38" i="20"/>
  <c r="G27" i="18"/>
  <c r="F27" i="18"/>
  <c r="G27" i="17"/>
  <c r="F27" i="17"/>
  <c r="G27" i="16"/>
  <c r="F27" i="16"/>
  <c r="G27" i="15"/>
  <c r="F27" i="15"/>
  <c r="G28" i="13"/>
  <c r="F28" i="13"/>
  <c r="G28" i="12"/>
  <c r="F28" i="12"/>
  <c r="G28" i="9"/>
  <c r="F28" i="9"/>
  <c r="G28" i="8"/>
  <c r="F28" i="8"/>
  <c r="G27" i="7"/>
  <c r="F27" i="7"/>
  <c r="G27" i="6"/>
  <c r="F27" i="6"/>
  <c r="E31" i="27"/>
  <c r="E32" i="25"/>
  <c r="E29" i="18"/>
  <c r="E33" i="13"/>
  <c r="E33" i="12"/>
  <c r="E33" i="10"/>
  <c r="E33" i="9"/>
  <c r="E33" i="8"/>
  <c r="E32" i="7"/>
  <c r="E32" i="6"/>
  <c r="E33" i="5"/>
  <c r="E33" i="4"/>
  <c r="E33" i="3"/>
  <c r="G27" i="2"/>
  <c r="F27" i="2"/>
  <c r="E32" i="2"/>
  <c r="E32" i="1"/>
  <c r="G37" i="27"/>
  <c r="E37" i="27"/>
  <c r="N22" i="27"/>
  <c r="G38" i="26"/>
  <c r="E38" i="26"/>
  <c r="N23" i="26"/>
  <c r="G38" i="25"/>
  <c r="E38" i="25"/>
  <c r="N23" i="25"/>
  <c r="G41" i="24"/>
  <c r="E41" i="24"/>
  <c r="N26" i="24"/>
  <c r="G41" i="23"/>
  <c r="E41" i="23"/>
  <c r="N26" i="23"/>
  <c r="G38" i="22"/>
  <c r="E38" i="22"/>
  <c r="N23" i="22"/>
  <c r="G37" i="21"/>
  <c r="E37" i="21"/>
  <c r="N22" i="21"/>
  <c r="G39" i="20"/>
  <c r="E39" i="20"/>
  <c r="N24" i="20"/>
  <c r="E41" i="20"/>
  <c r="G40" i="19"/>
  <c r="E40" i="19"/>
  <c r="N24" i="19"/>
  <c r="E42" i="19"/>
  <c r="G38" i="18"/>
  <c r="E38" i="18"/>
  <c r="N23" i="18"/>
  <c r="G38" i="17"/>
  <c r="E38" i="17"/>
  <c r="N23" i="17"/>
  <c r="E38" i="16"/>
  <c r="N23" i="16"/>
  <c r="G38" i="16"/>
  <c r="G38" i="15"/>
  <c r="E38" i="15"/>
  <c r="N23" i="15"/>
  <c r="G39" i="13"/>
  <c r="E39" i="13"/>
  <c r="N24" i="13"/>
  <c r="E41" i="13"/>
  <c r="G39" i="12"/>
  <c r="E39" i="12"/>
  <c r="N24" i="12"/>
  <c r="E41" i="12"/>
  <c r="G39" i="10"/>
  <c r="E39" i="10"/>
  <c r="N24" i="10"/>
  <c r="E41" i="10"/>
  <c r="G39" i="9"/>
  <c r="E39" i="9"/>
  <c r="N24" i="9"/>
  <c r="E41" i="9"/>
  <c r="G39" i="8"/>
  <c r="E39" i="8"/>
  <c r="N24" i="8"/>
  <c r="E41" i="8"/>
  <c r="G38" i="7"/>
  <c r="E38" i="7"/>
  <c r="N23" i="7"/>
  <c r="G38" i="6"/>
  <c r="E38" i="6"/>
  <c r="N23" i="6"/>
  <c r="G39" i="5"/>
  <c r="E39" i="5"/>
  <c r="N24" i="5"/>
  <c r="E41" i="5"/>
  <c r="G39" i="4"/>
  <c r="E39" i="4"/>
  <c r="N24" i="4"/>
  <c r="E41" i="4"/>
  <c r="E41" i="3"/>
  <c r="G39" i="3"/>
  <c r="E39" i="3"/>
  <c r="N24" i="3"/>
  <c r="G38" i="2"/>
  <c r="E38" i="2"/>
  <c r="N23" i="2"/>
  <c r="G38" i="1"/>
  <c r="E38" i="1"/>
  <c r="N23" i="1"/>
  <c r="G38" i="27"/>
  <c r="G40" i="20" l="1"/>
  <c r="G38" i="20"/>
  <c r="G41" i="19"/>
  <c r="G39" i="19"/>
  <c r="G38" i="4" l="1"/>
  <c r="G41" i="20"/>
  <c r="G42" i="19"/>
  <c r="G39" i="15"/>
  <c r="G37" i="15"/>
  <c r="G39" i="27" l="1"/>
  <c r="G36" i="27"/>
  <c r="G18" i="27"/>
  <c r="E18" i="27"/>
  <c r="G39" i="26"/>
  <c r="G40" i="26" s="1"/>
  <c r="G37" i="26"/>
  <c r="G19" i="26"/>
  <c r="E19" i="26"/>
  <c r="G39" i="25"/>
  <c r="G40" i="25" s="1"/>
  <c r="G37" i="25"/>
  <c r="G19" i="25"/>
  <c r="E19" i="25"/>
  <c r="G39" i="22"/>
  <c r="G40" i="22" s="1"/>
  <c r="G37" i="22"/>
  <c r="G19" i="22"/>
  <c r="E19" i="22"/>
  <c r="G38" i="21"/>
  <c r="G39" i="21" s="1"/>
  <c r="G36" i="21"/>
  <c r="G18" i="21"/>
  <c r="E18" i="21"/>
  <c r="G20" i="20"/>
  <c r="E20" i="20"/>
  <c r="C42" i="19"/>
  <c r="C40" i="19"/>
  <c r="G20" i="19"/>
  <c r="E20" i="19"/>
  <c r="G39" i="18"/>
  <c r="G40" i="18" s="1"/>
  <c r="G37" i="18"/>
  <c r="G19" i="18"/>
  <c r="E19" i="18"/>
  <c r="C18" i="27" l="1"/>
  <c r="C37" i="27"/>
  <c r="C19" i="26"/>
  <c r="C38" i="26"/>
  <c r="C19" i="25"/>
  <c r="C38" i="25"/>
  <c r="C19" i="22"/>
  <c r="C38" i="22"/>
  <c r="C18" i="21"/>
  <c r="C37" i="21"/>
  <c r="G42" i="20"/>
  <c r="C39" i="20"/>
  <c r="C41" i="20"/>
  <c r="G43" i="19"/>
  <c r="C20" i="19"/>
  <c r="C19" i="18"/>
  <c r="C38" i="18"/>
  <c r="C20" i="20"/>
  <c r="G39" i="17" l="1"/>
  <c r="G40" i="17" s="1"/>
  <c r="G37" i="17"/>
  <c r="G19" i="17"/>
  <c r="E19" i="17"/>
  <c r="C19" i="17" l="1"/>
  <c r="C38" i="17"/>
  <c r="G39" i="16" l="1"/>
  <c r="G37" i="16"/>
  <c r="G19" i="16"/>
  <c r="E19" i="16"/>
  <c r="G19" i="15"/>
  <c r="E19" i="15"/>
  <c r="G41" i="13"/>
  <c r="G40" i="13"/>
  <c r="G42" i="13" s="1"/>
  <c r="G38" i="13"/>
  <c r="G42" i="24"/>
  <c r="G43" i="24" s="1"/>
  <c r="G40" i="24"/>
  <c r="G22" i="24"/>
  <c r="E22" i="24"/>
  <c r="G42" i="23"/>
  <c r="G40" i="23"/>
  <c r="C38" i="16" l="1"/>
  <c r="C19" i="16"/>
  <c r="C38" i="15"/>
  <c r="G40" i="15"/>
  <c r="C19" i="15"/>
  <c r="C41" i="13"/>
  <c r="G40" i="16"/>
  <c r="C39" i="13"/>
  <c r="C41" i="24"/>
  <c r="C22" i="24"/>
  <c r="C41" i="23"/>
  <c r="G43" i="23"/>
  <c r="G22" i="23" l="1"/>
  <c r="E22" i="23"/>
  <c r="G20" i="13"/>
  <c r="E20" i="13"/>
  <c r="G41" i="12"/>
  <c r="G40" i="12"/>
  <c r="G38" i="12"/>
  <c r="G20" i="12"/>
  <c r="E20" i="12"/>
  <c r="G41" i="10"/>
  <c r="G40" i="10"/>
  <c r="G38" i="10"/>
  <c r="G20" i="10"/>
  <c r="E20" i="10"/>
  <c r="G41" i="9"/>
  <c r="G40" i="9"/>
  <c r="G38" i="9"/>
  <c r="G20" i="9"/>
  <c r="E20" i="9"/>
  <c r="G41" i="8"/>
  <c r="G40" i="8"/>
  <c r="G38" i="8"/>
  <c r="G20" i="8"/>
  <c r="E20" i="8"/>
  <c r="G39" i="7"/>
  <c r="G37" i="7"/>
  <c r="G19" i="7"/>
  <c r="E19" i="7"/>
  <c r="G39" i="6"/>
  <c r="G37" i="6"/>
  <c r="G19" i="6"/>
  <c r="E19" i="6"/>
  <c r="G41" i="5"/>
  <c r="G40" i="5"/>
  <c r="G38" i="5"/>
  <c r="G20" i="5"/>
  <c r="E20" i="5"/>
  <c r="G41" i="4"/>
  <c r="G40" i="4"/>
  <c r="G20" i="4"/>
  <c r="E20" i="4"/>
  <c r="G41" i="3"/>
  <c r="G40" i="3"/>
  <c r="G38" i="3"/>
  <c r="G20" i="3"/>
  <c r="E20" i="3"/>
  <c r="G39" i="2"/>
  <c r="G37" i="2"/>
  <c r="G19" i="2"/>
  <c r="E19" i="2"/>
  <c r="G39" i="1"/>
  <c r="G37" i="1"/>
  <c r="G19" i="1"/>
  <c r="E19" i="1"/>
  <c r="C20" i="12" l="1"/>
  <c r="C41" i="12"/>
  <c r="G42" i="12"/>
  <c r="C20" i="10"/>
  <c r="G42" i="10"/>
  <c r="C20" i="9"/>
  <c r="C41" i="8"/>
  <c r="C38" i="7"/>
  <c r="C19" i="7"/>
  <c r="C19" i="6"/>
  <c r="C38" i="6"/>
  <c r="C39" i="5"/>
  <c r="C20" i="5"/>
  <c r="C41" i="4"/>
  <c r="G42" i="4"/>
  <c r="C39" i="4"/>
  <c r="C41" i="3"/>
  <c r="C20" i="3"/>
  <c r="C39" i="3"/>
  <c r="C22" i="23"/>
  <c r="C20" i="13"/>
  <c r="C41" i="5"/>
  <c r="C20" i="8"/>
  <c r="C38" i="2"/>
  <c r="G42" i="3"/>
  <c r="C41" i="10"/>
  <c r="C20" i="4"/>
  <c r="C39" i="10"/>
  <c r="C39" i="12"/>
  <c r="C41" i="9"/>
  <c r="G42" i="9"/>
  <c r="G42" i="8"/>
  <c r="G42" i="5"/>
  <c r="C19" i="2"/>
  <c r="C38" i="1"/>
  <c r="C39" i="9"/>
  <c r="C39" i="8"/>
  <c r="G40" i="7"/>
  <c r="G40" i="6"/>
  <c r="G40" i="2"/>
  <c r="G40" i="1"/>
  <c r="C19" i="1"/>
  <c r="H30" i="27" l="1"/>
  <c r="H31" i="26"/>
  <c r="H31" i="25"/>
  <c r="H34" i="24"/>
  <c r="H34" i="23"/>
  <c r="H31" i="22" l="1"/>
  <c r="H30" i="21"/>
  <c r="H32" i="20"/>
  <c r="H32" i="19" l="1"/>
  <c r="H31" i="18"/>
  <c r="H31" i="17"/>
  <c r="H31" i="16"/>
  <c r="H31" i="15"/>
  <c r="H32" i="13"/>
  <c r="H32" i="12"/>
  <c r="H32" i="10"/>
  <c r="H32" i="9"/>
  <c r="H32" i="8"/>
  <c r="H31" i="7" l="1"/>
  <c r="H31" i="6"/>
  <c r="H32" i="5"/>
  <c r="H32" i="4"/>
  <c r="H32" i="3"/>
  <c r="H31" i="2"/>
  <c r="H31" i="1" l="1"/>
  <c r="E32" i="27" l="1"/>
  <c r="E33" i="26"/>
  <c r="E33" i="25"/>
  <c r="E33" i="22"/>
  <c r="E32" i="21"/>
  <c r="E34" i="20"/>
  <c r="E33" i="18"/>
  <c r="E33" i="17"/>
  <c r="E33" i="16"/>
  <c r="E33" i="15"/>
  <c r="E34" i="13"/>
  <c r="E34" i="12"/>
  <c r="E34" i="10"/>
  <c r="M25" i="12" l="1"/>
  <c r="N25" i="12"/>
  <c r="N24" i="17"/>
  <c r="M24" i="17"/>
  <c r="F32" i="17" s="1"/>
  <c r="N24" i="22"/>
  <c r="M24" i="22"/>
  <c r="N25" i="13"/>
  <c r="M25" i="13"/>
  <c r="M24" i="18"/>
  <c r="N24" i="18"/>
  <c r="N24" i="25"/>
  <c r="M24" i="25"/>
  <c r="M25" i="20"/>
  <c r="N25" i="20"/>
  <c r="N24" i="26"/>
  <c r="M24" i="26"/>
  <c r="M24" i="15"/>
  <c r="N24" i="15"/>
  <c r="N25" i="10"/>
  <c r="M25" i="10"/>
  <c r="N24" i="16"/>
  <c r="M24" i="16"/>
  <c r="N23" i="21"/>
  <c r="M23" i="21"/>
  <c r="M23" i="27"/>
  <c r="N23" i="27"/>
  <c r="E34" i="9"/>
  <c r="E34" i="8"/>
  <c r="E33" i="7"/>
  <c r="E33" i="6"/>
  <c r="E34" i="5"/>
  <c r="E34" i="4"/>
  <c r="E34" i="3"/>
  <c r="E33" i="2"/>
  <c r="E33" i="1"/>
  <c r="M25" i="4" l="1"/>
  <c r="N25" i="4"/>
  <c r="N25" i="8"/>
  <c r="M25" i="8"/>
  <c r="M24" i="1"/>
  <c r="N24" i="1"/>
  <c r="M25" i="9"/>
  <c r="N25" i="9"/>
  <c r="N25" i="5"/>
  <c r="M25" i="5"/>
  <c r="N24" i="2"/>
  <c r="M24" i="2"/>
  <c r="M24" i="6"/>
  <c r="N24" i="6"/>
  <c r="N25" i="3"/>
  <c r="M25" i="3"/>
  <c r="N24" i="7"/>
  <c r="M24" i="7"/>
  <c r="F30" i="22"/>
  <c r="F28" i="22"/>
  <c r="F26" i="22"/>
  <c r="F24" i="22"/>
  <c r="F32" i="22"/>
  <c r="F29" i="22"/>
  <c r="F25" i="22"/>
  <c r="G31" i="27"/>
  <c r="G28" i="27"/>
  <c r="G24" i="27"/>
  <c r="G27" i="27"/>
  <c r="G23" i="27"/>
  <c r="G29" i="27"/>
  <c r="H29" i="27" s="1"/>
  <c r="G25" i="27"/>
  <c r="G32" i="25"/>
  <c r="G29" i="25"/>
  <c r="G25" i="25"/>
  <c r="G30" i="25"/>
  <c r="G28" i="25"/>
  <c r="G26" i="25"/>
  <c r="G24" i="25"/>
  <c r="G32" i="17"/>
  <c r="G30" i="17"/>
  <c r="G28" i="17"/>
  <c r="G26" i="17"/>
  <c r="G24" i="17"/>
  <c r="G25" i="17"/>
  <c r="G29" i="17"/>
  <c r="G32" i="22"/>
  <c r="G29" i="22"/>
  <c r="G25" i="22"/>
  <c r="G30" i="22"/>
  <c r="G28" i="22"/>
  <c r="G26" i="22"/>
  <c r="G24" i="22"/>
  <c r="F29" i="27"/>
  <c r="F27" i="27"/>
  <c r="H27" i="27" s="1"/>
  <c r="F25" i="27"/>
  <c r="F23" i="27"/>
  <c r="F31" i="27"/>
  <c r="F28" i="27"/>
  <c r="H28" i="27" s="1"/>
  <c r="H26" i="27"/>
  <c r="F24" i="27"/>
  <c r="H24" i="27" s="1"/>
  <c r="F30" i="25"/>
  <c r="F28" i="25"/>
  <c r="F26" i="25"/>
  <c r="F24" i="25"/>
  <c r="H24" i="25" s="1"/>
  <c r="F32" i="25"/>
  <c r="F29" i="25"/>
  <c r="H27" i="25"/>
  <c r="F25" i="25"/>
  <c r="F30" i="17"/>
  <c r="H30" i="17" s="1"/>
  <c r="F28" i="17"/>
  <c r="F24" i="17"/>
  <c r="F29" i="17"/>
  <c r="F25" i="17"/>
  <c r="F26" i="17"/>
  <c r="F29" i="21"/>
  <c r="F27" i="21"/>
  <c r="F25" i="21"/>
  <c r="F23" i="21"/>
  <c r="F31" i="21"/>
  <c r="F28" i="21"/>
  <c r="F24" i="21"/>
  <c r="G31" i="13"/>
  <c r="G29" i="13"/>
  <c r="G27" i="13"/>
  <c r="G25" i="13"/>
  <c r="G33" i="13"/>
  <c r="G30" i="13"/>
  <c r="G26" i="13"/>
  <c r="F30" i="26"/>
  <c r="F28" i="26"/>
  <c r="F26" i="26"/>
  <c r="F24" i="26"/>
  <c r="F32" i="26"/>
  <c r="F29" i="26"/>
  <c r="F25" i="26"/>
  <c r="G31" i="21"/>
  <c r="H31" i="21" s="1"/>
  <c r="G28" i="21"/>
  <c r="G24" i="21"/>
  <c r="G29" i="21"/>
  <c r="H29" i="21" s="1"/>
  <c r="G27" i="21"/>
  <c r="G25" i="21"/>
  <c r="G23" i="21"/>
  <c r="F31" i="13"/>
  <c r="F29" i="13"/>
  <c r="F27" i="13"/>
  <c r="F25" i="13"/>
  <c r="F33" i="13"/>
  <c r="F30" i="13"/>
  <c r="H28" i="13"/>
  <c r="F26" i="13"/>
  <c r="G32" i="26"/>
  <c r="G29" i="26"/>
  <c r="G25" i="26"/>
  <c r="G30" i="26"/>
  <c r="G28" i="26"/>
  <c r="G26" i="26"/>
  <c r="G24" i="26"/>
  <c r="F30" i="18"/>
  <c r="F29" i="18"/>
  <c r="F28" i="18"/>
  <c r="F26" i="18"/>
  <c r="F25" i="18"/>
  <c r="F24" i="18"/>
  <c r="F32" i="18"/>
  <c r="G30" i="18"/>
  <c r="G32" i="18"/>
  <c r="G29" i="18"/>
  <c r="G28" i="18"/>
  <c r="G26" i="18"/>
  <c r="G25" i="18"/>
  <c r="G24" i="18"/>
  <c r="F33" i="20"/>
  <c r="H33" i="20" s="1"/>
  <c r="F31" i="20"/>
  <c r="F30" i="20"/>
  <c r="F29" i="20"/>
  <c r="H29" i="20" s="1"/>
  <c r="G33" i="20"/>
  <c r="G31" i="20"/>
  <c r="G30" i="20"/>
  <c r="G29" i="20"/>
  <c r="G32" i="15"/>
  <c r="G30" i="15"/>
  <c r="G29" i="15"/>
  <c r="G28" i="15"/>
  <c r="G26" i="15"/>
  <c r="G25" i="15"/>
  <c r="G24" i="15"/>
  <c r="F32" i="15"/>
  <c r="F30" i="15"/>
  <c r="H30" i="15" s="1"/>
  <c r="F29" i="15"/>
  <c r="H29" i="15" s="1"/>
  <c r="F28" i="15"/>
  <c r="H28" i="15" s="1"/>
  <c r="F26" i="15"/>
  <c r="F25" i="15"/>
  <c r="H25" i="15" s="1"/>
  <c r="F24" i="15"/>
  <c r="G28" i="20"/>
  <c r="G27" i="20"/>
  <c r="G26" i="20"/>
  <c r="G25" i="20"/>
  <c r="F28" i="20"/>
  <c r="F27" i="20"/>
  <c r="H27" i="20" s="1"/>
  <c r="F26" i="20"/>
  <c r="H26" i="20" s="1"/>
  <c r="F25" i="20"/>
  <c r="G32" i="16"/>
  <c r="G30" i="16"/>
  <c r="G29" i="16"/>
  <c r="G28" i="16"/>
  <c r="G26" i="16"/>
  <c r="G25" i="16"/>
  <c r="G24" i="16"/>
  <c r="F30" i="16"/>
  <c r="F28" i="16"/>
  <c r="F26" i="16"/>
  <c r="F24" i="16"/>
  <c r="F29" i="16"/>
  <c r="F25" i="16"/>
  <c r="F32" i="16"/>
  <c r="G30" i="12"/>
  <c r="G31" i="12"/>
  <c r="G29" i="12"/>
  <c r="G27" i="12"/>
  <c r="G25" i="12"/>
  <c r="G33" i="12"/>
  <c r="G26" i="12"/>
  <c r="F31" i="12"/>
  <c r="F29" i="12"/>
  <c r="F27" i="12"/>
  <c r="F25" i="12"/>
  <c r="F30" i="12"/>
  <c r="F33" i="12"/>
  <c r="H33" i="12" s="1"/>
  <c r="F26" i="12"/>
  <c r="G31" i="10"/>
  <c r="G29" i="10"/>
  <c r="G25" i="10"/>
  <c r="G33" i="10"/>
  <c r="G30" i="10"/>
  <c r="G28" i="10"/>
  <c r="G26" i="10"/>
  <c r="G27" i="10"/>
  <c r="H27" i="13"/>
  <c r="H33" i="13"/>
  <c r="H26" i="26"/>
  <c r="H28" i="25"/>
  <c r="F33" i="10"/>
  <c r="F30" i="10"/>
  <c r="F28" i="10"/>
  <c r="H28" i="10" s="1"/>
  <c r="F26" i="10"/>
  <c r="F31" i="10"/>
  <c r="F27" i="10"/>
  <c r="F29" i="10"/>
  <c r="F25" i="10"/>
  <c r="H29" i="26"/>
  <c r="H31" i="27"/>
  <c r="H24" i="15"/>
  <c r="H30" i="20"/>
  <c r="H29" i="25"/>
  <c r="H32" i="25"/>
  <c r="H25" i="27"/>
  <c r="F33" i="8"/>
  <c r="H28" i="26"/>
  <c r="H30" i="25"/>
  <c r="H25" i="25"/>
  <c r="H27" i="21"/>
  <c r="H32" i="17"/>
  <c r="H26" i="17"/>
  <c r="H30" i="26" l="1"/>
  <c r="H25" i="26"/>
  <c r="H24" i="26"/>
  <c r="F33" i="25"/>
  <c r="E39" i="25"/>
  <c r="E39" i="22"/>
  <c r="H30" i="18"/>
  <c r="H25" i="17"/>
  <c r="E39" i="16"/>
  <c r="H26" i="15"/>
  <c r="E38" i="12"/>
  <c r="E39" i="18"/>
  <c r="C39" i="18" s="1"/>
  <c r="E39" i="26"/>
  <c r="E36" i="21"/>
  <c r="C36" i="21" s="1"/>
  <c r="E40" i="10"/>
  <c r="E37" i="18"/>
  <c r="C37" i="18" s="1"/>
  <c r="E38" i="27"/>
  <c r="H31" i="12"/>
  <c r="H23" i="27"/>
  <c r="E36" i="27"/>
  <c r="C36" i="27" s="1"/>
  <c r="F32" i="27"/>
  <c r="E37" i="26"/>
  <c r="C37" i="26" s="1"/>
  <c r="E37" i="25"/>
  <c r="C37" i="25" s="1"/>
  <c r="E37" i="22"/>
  <c r="C37" i="22" s="1"/>
  <c r="G32" i="21"/>
  <c r="E38" i="21"/>
  <c r="H28" i="21"/>
  <c r="H25" i="21"/>
  <c r="C38" i="20"/>
  <c r="H31" i="20"/>
  <c r="H24" i="18"/>
  <c r="H26" i="18"/>
  <c r="G33" i="18"/>
  <c r="H28" i="18"/>
  <c r="E39" i="17"/>
  <c r="H24" i="17"/>
  <c r="E37" i="17"/>
  <c r="C37" i="17" s="1"/>
  <c r="G33" i="17"/>
  <c r="H29" i="16"/>
  <c r="H24" i="16"/>
  <c r="E37" i="16"/>
  <c r="C37" i="16" s="1"/>
  <c r="H28" i="16"/>
  <c r="H30" i="16"/>
  <c r="H26" i="16"/>
  <c r="E39" i="15"/>
  <c r="H32" i="15"/>
  <c r="E37" i="15"/>
  <c r="C37" i="15" s="1"/>
  <c r="G33" i="15"/>
  <c r="E38" i="13"/>
  <c r="C38" i="13" s="1"/>
  <c r="E40" i="13"/>
  <c r="E40" i="12"/>
  <c r="C40" i="12" s="1"/>
  <c r="H26" i="12"/>
  <c r="G34" i="10"/>
  <c r="H25" i="10"/>
  <c r="E38" i="10"/>
  <c r="H31" i="10"/>
  <c r="H27" i="10"/>
  <c r="H26" i="10"/>
  <c r="H30" i="10"/>
  <c r="H30" i="12"/>
  <c r="H25" i="18"/>
  <c r="H32" i="16"/>
  <c r="G32" i="27"/>
  <c r="H32" i="18"/>
  <c r="H27" i="18"/>
  <c r="H29" i="18"/>
  <c r="F33" i="18"/>
  <c r="H29" i="10"/>
  <c r="H33" i="10"/>
  <c r="H25" i="16"/>
  <c r="G34" i="12"/>
  <c r="H27" i="12"/>
  <c r="F34" i="10"/>
  <c r="F33" i="26"/>
  <c r="H32" i="26"/>
  <c r="H29" i="22"/>
  <c r="H28" i="22"/>
  <c r="H32" i="22"/>
  <c r="H23" i="21"/>
  <c r="H25" i="20"/>
  <c r="H29" i="17"/>
  <c r="H28" i="17"/>
  <c r="G33" i="16"/>
  <c r="H27" i="16"/>
  <c r="C39" i="16"/>
  <c r="F33" i="16"/>
  <c r="H30" i="13"/>
  <c r="H26" i="13"/>
  <c r="G29" i="5"/>
  <c r="G33" i="5"/>
  <c r="G30" i="5"/>
  <c r="G28" i="5"/>
  <c r="G26" i="5"/>
  <c r="G31" i="5"/>
  <c r="G27" i="5"/>
  <c r="G25" i="5"/>
  <c r="F33" i="3"/>
  <c r="F30" i="3"/>
  <c r="F28" i="3"/>
  <c r="F31" i="3"/>
  <c r="F27" i="3"/>
  <c r="F29" i="3"/>
  <c r="G30" i="1"/>
  <c r="G24" i="1"/>
  <c r="G32" i="1"/>
  <c r="G29" i="1"/>
  <c r="G27" i="1"/>
  <c r="G25" i="1"/>
  <c r="G28" i="1"/>
  <c r="G26" i="1"/>
  <c r="F33" i="5"/>
  <c r="F30" i="5"/>
  <c r="F28" i="5"/>
  <c r="H28" i="5" s="1"/>
  <c r="F26" i="5"/>
  <c r="F31" i="5"/>
  <c r="F27" i="5"/>
  <c r="F29" i="5"/>
  <c r="H29" i="5" s="1"/>
  <c r="F25" i="5"/>
  <c r="G30" i="2"/>
  <c r="G26" i="2"/>
  <c r="G32" i="2"/>
  <c r="G29" i="2"/>
  <c r="G25" i="2"/>
  <c r="G28" i="2"/>
  <c r="G24" i="2"/>
  <c r="G28" i="6"/>
  <c r="G24" i="6"/>
  <c r="G32" i="6"/>
  <c r="G29" i="6"/>
  <c r="G25" i="6"/>
  <c r="G30" i="6"/>
  <c r="G26" i="6"/>
  <c r="G29" i="9"/>
  <c r="G33" i="9"/>
  <c r="G30" i="9"/>
  <c r="G26" i="9"/>
  <c r="G31" i="9"/>
  <c r="G27" i="9"/>
  <c r="G25" i="9"/>
  <c r="G34" i="20"/>
  <c r="F34" i="20"/>
  <c r="H27" i="26"/>
  <c r="H31" i="13"/>
  <c r="F34" i="13"/>
  <c r="H27" i="22"/>
  <c r="H26" i="22"/>
  <c r="G31" i="4"/>
  <c r="G27" i="4"/>
  <c r="G33" i="4"/>
  <c r="G30" i="4"/>
  <c r="G28" i="4"/>
  <c r="G26" i="4"/>
  <c r="G29" i="4"/>
  <c r="G25" i="4"/>
  <c r="G31" i="8"/>
  <c r="G27" i="8"/>
  <c r="G33" i="8"/>
  <c r="G30" i="8"/>
  <c r="G26" i="8"/>
  <c r="G29" i="8"/>
  <c r="G25" i="8"/>
  <c r="F33" i="4"/>
  <c r="F30" i="4"/>
  <c r="F28" i="4"/>
  <c r="F26" i="4"/>
  <c r="F31" i="4"/>
  <c r="H31" i="4" s="1"/>
  <c r="F27" i="4"/>
  <c r="F29" i="4"/>
  <c r="F25" i="4"/>
  <c r="F30" i="8"/>
  <c r="F26" i="8"/>
  <c r="F31" i="8"/>
  <c r="F27" i="8"/>
  <c r="F29" i="8"/>
  <c r="F25" i="8"/>
  <c r="G33" i="22"/>
  <c r="G31" i="3"/>
  <c r="G33" i="3"/>
  <c r="G30" i="3"/>
  <c r="G28" i="3"/>
  <c r="H28" i="3" s="1"/>
  <c r="G29" i="3"/>
  <c r="H29" i="3" s="1"/>
  <c r="G27" i="3"/>
  <c r="F32" i="1"/>
  <c r="H32" i="1" s="1"/>
  <c r="F29" i="1"/>
  <c r="H29" i="1" s="1"/>
  <c r="F27" i="1"/>
  <c r="F25" i="1"/>
  <c r="F28" i="1"/>
  <c r="F24" i="1"/>
  <c r="F30" i="1"/>
  <c r="F26" i="1"/>
  <c r="G28" i="7"/>
  <c r="G24" i="7"/>
  <c r="G32" i="7"/>
  <c r="G29" i="7"/>
  <c r="G25" i="7"/>
  <c r="G30" i="7"/>
  <c r="G26" i="7"/>
  <c r="F32" i="2"/>
  <c r="F29" i="2"/>
  <c r="H29" i="2" s="1"/>
  <c r="H27" i="2"/>
  <c r="F25" i="2"/>
  <c r="F28" i="2"/>
  <c r="H28" i="2" s="1"/>
  <c r="F24" i="2"/>
  <c r="F30" i="2"/>
  <c r="H30" i="2" s="1"/>
  <c r="F26" i="2"/>
  <c r="F32" i="6"/>
  <c r="H32" i="6" s="1"/>
  <c r="F29" i="6"/>
  <c r="H29" i="6" s="1"/>
  <c r="F25" i="6"/>
  <c r="F30" i="6"/>
  <c r="F26" i="6"/>
  <c r="H26" i="6" s="1"/>
  <c r="F28" i="6"/>
  <c r="F24" i="6"/>
  <c r="F32" i="7"/>
  <c r="F29" i="7"/>
  <c r="F25" i="7"/>
  <c r="F30" i="7"/>
  <c r="F26" i="7"/>
  <c r="F28" i="7"/>
  <c r="F24" i="7"/>
  <c r="F33" i="9"/>
  <c r="F30" i="9"/>
  <c r="F26" i="9"/>
  <c r="F31" i="9"/>
  <c r="F27" i="9"/>
  <c r="F29" i="9"/>
  <c r="H29" i="9" s="1"/>
  <c r="F25" i="9"/>
  <c r="H24" i="22"/>
  <c r="F33" i="22"/>
  <c r="H30" i="22"/>
  <c r="G33" i="25"/>
  <c r="H27" i="17"/>
  <c r="H26" i="21"/>
  <c r="G34" i="13"/>
  <c r="F33" i="15"/>
  <c r="F32" i="21"/>
  <c r="G33" i="26"/>
  <c r="F33" i="17"/>
  <c r="H24" i="21"/>
  <c r="H25" i="13"/>
  <c r="C38" i="10"/>
  <c r="H26" i="25"/>
  <c r="H33" i="25" s="1"/>
  <c r="H28" i="20"/>
  <c r="H34" i="20" s="1"/>
  <c r="H27" i="15"/>
  <c r="H33" i="15" s="1"/>
  <c r="H29" i="13"/>
  <c r="H25" i="22"/>
  <c r="H29" i="12"/>
  <c r="C38" i="12"/>
  <c r="H28" i="12"/>
  <c r="H29" i="8"/>
  <c r="H33" i="8"/>
  <c r="H25" i="5"/>
  <c r="G26" i="3"/>
  <c r="G25" i="3"/>
  <c r="F26" i="3"/>
  <c r="F25" i="3"/>
  <c r="E38" i="3" s="1"/>
  <c r="H29" i="4"/>
  <c r="H27" i="4"/>
  <c r="H25" i="12"/>
  <c r="F34" i="12"/>
  <c r="H27" i="3"/>
  <c r="H32" i="27"/>
  <c r="H34" i="10" l="1"/>
  <c r="H28" i="9"/>
  <c r="E40" i="3"/>
  <c r="H26" i="1"/>
  <c r="H26" i="3"/>
  <c r="E37" i="6"/>
  <c r="C37" i="6" s="1"/>
  <c r="E37" i="2"/>
  <c r="C37" i="2" s="1"/>
  <c r="E38" i="4"/>
  <c r="H26" i="4"/>
  <c r="E38" i="5"/>
  <c r="E40" i="18"/>
  <c r="C40" i="18" s="1"/>
  <c r="H33" i="17"/>
  <c r="H33" i="16"/>
  <c r="E40" i="9"/>
  <c r="E38" i="9"/>
  <c r="G34" i="9"/>
  <c r="E40" i="8"/>
  <c r="E38" i="8"/>
  <c r="H27" i="8"/>
  <c r="H31" i="8"/>
  <c r="H30" i="8"/>
  <c r="E39" i="7"/>
  <c r="E40" i="7" s="1"/>
  <c r="C40" i="7" s="1"/>
  <c r="E37" i="7"/>
  <c r="H27" i="7"/>
  <c r="H30" i="7"/>
  <c r="E39" i="6"/>
  <c r="C39" i="6" s="1"/>
  <c r="H28" i="6"/>
  <c r="H27" i="6"/>
  <c r="E40" i="5"/>
  <c r="H31" i="5"/>
  <c r="H33" i="5"/>
  <c r="H27" i="5"/>
  <c r="G34" i="5"/>
  <c r="E40" i="4"/>
  <c r="H33" i="4"/>
  <c r="H28" i="4"/>
  <c r="C38" i="3"/>
  <c r="H31" i="3"/>
  <c r="E39" i="2"/>
  <c r="C39" i="2" s="1"/>
  <c r="H30" i="1"/>
  <c r="H27" i="1"/>
  <c r="E39" i="1"/>
  <c r="C39" i="1" s="1"/>
  <c r="E37" i="1"/>
  <c r="H24" i="1"/>
  <c r="C38" i="21"/>
  <c r="E39" i="21"/>
  <c r="C39" i="21" s="1"/>
  <c r="F34" i="9"/>
  <c r="H25" i="7"/>
  <c r="H24" i="6"/>
  <c r="H25" i="6"/>
  <c r="H26" i="2"/>
  <c r="H25" i="2"/>
  <c r="H28" i="8"/>
  <c r="H33" i="18"/>
  <c r="C39" i="17"/>
  <c r="E40" i="17"/>
  <c r="C40" i="17" s="1"/>
  <c r="E42" i="8"/>
  <c r="C42" i="8" s="1"/>
  <c r="E42" i="4"/>
  <c r="C42" i="4" s="1"/>
  <c r="E39" i="27"/>
  <c r="C39" i="27" s="1"/>
  <c r="C38" i="27"/>
  <c r="E40" i="25"/>
  <c r="C40" i="25" s="1"/>
  <c r="C39" i="25"/>
  <c r="H31" i="9"/>
  <c r="H25" i="8"/>
  <c r="H26" i="8"/>
  <c r="H33" i="26"/>
  <c r="G33" i="2"/>
  <c r="H26" i="5"/>
  <c r="E40" i="22"/>
  <c r="C40" i="22" s="1"/>
  <c r="C39" i="22"/>
  <c r="C40" i="13"/>
  <c r="E42" i="13"/>
  <c r="C42" i="13" s="1"/>
  <c r="E40" i="26"/>
  <c r="C40" i="26" s="1"/>
  <c r="C39" i="26"/>
  <c r="H24" i="7"/>
  <c r="C37" i="7"/>
  <c r="C38" i="4"/>
  <c r="H25" i="1"/>
  <c r="C40" i="5"/>
  <c r="C40" i="20"/>
  <c r="E42" i="20"/>
  <c r="C42" i="20" s="1"/>
  <c r="E40" i="16"/>
  <c r="C40" i="16" s="1"/>
  <c r="C39" i="15"/>
  <c r="E40" i="15"/>
  <c r="C40" i="15" s="1"/>
  <c r="H27" i="9"/>
  <c r="H30" i="9"/>
  <c r="H32" i="7"/>
  <c r="H28" i="7"/>
  <c r="G33" i="7"/>
  <c r="H29" i="7"/>
  <c r="H30" i="6"/>
  <c r="H30" i="5"/>
  <c r="H30" i="4"/>
  <c r="H33" i="3"/>
  <c r="G34" i="3"/>
  <c r="H30" i="3"/>
  <c r="H32" i="21"/>
  <c r="C40" i="10"/>
  <c r="E42" i="10"/>
  <c r="C42" i="10" s="1"/>
  <c r="G34" i="8"/>
  <c r="H34" i="12"/>
  <c r="C40" i="9"/>
  <c r="H34" i="13"/>
  <c r="H33" i="22"/>
  <c r="G33" i="1"/>
  <c r="G33" i="6"/>
  <c r="G34" i="4"/>
  <c r="H28" i="1"/>
  <c r="E42" i="12"/>
  <c r="C42" i="12" s="1"/>
  <c r="H25" i="9"/>
  <c r="C38" i="9"/>
  <c r="H26" i="9"/>
  <c r="H33" i="9"/>
  <c r="C38" i="8"/>
  <c r="F34" i="8"/>
  <c r="F33" i="7"/>
  <c r="H26" i="7"/>
  <c r="C38" i="5"/>
  <c r="F34" i="5"/>
  <c r="C40" i="3"/>
  <c r="C37" i="1"/>
  <c r="C39" i="7"/>
  <c r="F33" i="6"/>
  <c r="F34" i="4"/>
  <c r="H25" i="4"/>
  <c r="H24" i="2"/>
  <c r="F33" i="2"/>
  <c r="H32" i="2"/>
  <c r="F33" i="1"/>
  <c r="F34" i="3"/>
  <c r="H25" i="3"/>
  <c r="H34" i="3" l="1"/>
  <c r="E42" i="9"/>
  <c r="C42" i="9" s="1"/>
  <c r="C40" i="8"/>
  <c r="H34" i="8"/>
  <c r="H33" i="6"/>
  <c r="H34" i="5"/>
  <c r="C40" i="4"/>
  <c r="E40" i="2"/>
  <c r="C40" i="2" s="1"/>
  <c r="E40" i="6"/>
  <c r="C40" i="6" s="1"/>
  <c r="H34" i="4"/>
  <c r="E42" i="5"/>
  <c r="C42" i="5" s="1"/>
  <c r="H33" i="1"/>
  <c r="H33" i="7"/>
  <c r="E40" i="1"/>
  <c r="C40" i="1" s="1"/>
  <c r="H34" i="9"/>
  <c r="E42" i="3"/>
  <c r="C42" i="3" s="1"/>
  <c r="H33" i="2"/>
  <c r="E36" i="24"/>
  <c r="E36" i="23"/>
  <c r="E35" i="19"/>
  <c r="M27" i="23" l="1"/>
  <c r="N27" i="23"/>
  <c r="N27" i="24"/>
  <c r="M27" i="24"/>
  <c r="N25" i="19"/>
  <c r="G33" i="19" s="1"/>
  <c r="M25" i="19"/>
  <c r="F35" i="23"/>
  <c r="F33" i="23"/>
  <c r="F31" i="23"/>
  <c r="F32" i="23"/>
  <c r="F30" i="23"/>
  <c r="F28" i="23"/>
  <c r="F29" i="23"/>
  <c r="F27" i="23"/>
  <c r="F33" i="19"/>
  <c r="E40" i="23" l="1"/>
  <c r="G35" i="23"/>
  <c r="G33" i="23"/>
  <c r="G31" i="23"/>
  <c r="G29" i="23"/>
  <c r="H29" i="23" s="1"/>
  <c r="G27" i="23"/>
  <c r="G32" i="23"/>
  <c r="G30" i="23"/>
  <c r="G28" i="23"/>
  <c r="H28" i="23" s="1"/>
  <c r="G34" i="19"/>
  <c r="G31" i="19"/>
  <c r="G30" i="19"/>
  <c r="G29" i="19"/>
  <c r="G28" i="19"/>
  <c r="G27" i="19"/>
  <c r="G26" i="19"/>
  <c r="G25" i="19"/>
  <c r="F31" i="19"/>
  <c r="F30" i="19"/>
  <c r="F29" i="19"/>
  <c r="F28" i="19"/>
  <c r="F27" i="19"/>
  <c r="F26" i="19"/>
  <c r="F25" i="19"/>
  <c r="F34" i="19"/>
  <c r="F35" i="24"/>
  <c r="F33" i="24"/>
  <c r="F32" i="24"/>
  <c r="F31" i="24"/>
  <c r="F30" i="24"/>
  <c r="F29" i="24"/>
  <c r="F28" i="24"/>
  <c r="F27" i="24"/>
  <c r="G35" i="24"/>
  <c r="G33" i="24"/>
  <c r="G32" i="24"/>
  <c r="G31" i="24"/>
  <c r="G30" i="24"/>
  <c r="G29" i="24"/>
  <c r="H29" i="24" s="1"/>
  <c r="G28" i="24"/>
  <c r="G27" i="24"/>
  <c r="H32" i="23"/>
  <c r="E41" i="19" l="1"/>
  <c r="E42" i="24"/>
  <c r="E40" i="24"/>
  <c r="C40" i="24" s="1"/>
  <c r="E43" i="24"/>
  <c r="C43" i="24" s="1"/>
  <c r="H31" i="24"/>
  <c r="H28" i="24"/>
  <c r="E42" i="23"/>
  <c r="E39" i="19"/>
  <c r="C39" i="19" s="1"/>
  <c r="E43" i="19"/>
  <c r="C43" i="19" s="1"/>
  <c r="H30" i="24"/>
  <c r="H35" i="24"/>
  <c r="H30" i="23"/>
  <c r="H27" i="23"/>
  <c r="C40" i="23"/>
  <c r="H33" i="23"/>
  <c r="H31" i="23"/>
  <c r="G36" i="24"/>
  <c r="H27" i="24"/>
  <c r="F36" i="24"/>
  <c r="F35" i="19"/>
  <c r="F36" i="23"/>
  <c r="G36" i="23"/>
  <c r="H35" i="23"/>
  <c r="H32" i="24"/>
  <c r="H33" i="24"/>
  <c r="C42" i="24" l="1"/>
  <c r="C41" i="19"/>
  <c r="H36" i="23"/>
  <c r="C42" i="23"/>
  <c r="E43" i="23"/>
  <c r="C43" i="23" s="1"/>
  <c r="H36" i="24"/>
  <c r="H34" i="19"/>
  <c r="H26" i="19"/>
  <c r="H33" i="19"/>
  <c r="H29" i="19"/>
  <c r="H27" i="19"/>
  <c r="H30" i="19"/>
  <c r="H28" i="19"/>
  <c r="H25" i="19"/>
  <c r="H31" i="19"/>
  <c r="G35" i="19" l="1"/>
  <c r="H35" i="19" l="1"/>
</calcChain>
</file>

<file path=xl/sharedStrings.xml><?xml version="1.0" encoding="utf-8"?>
<sst xmlns="http://schemas.openxmlformats.org/spreadsheetml/2006/main" count="2129" uniqueCount="170">
  <si>
    <t>• Адрес МКД</t>
  </si>
  <si>
    <t>• Год постройки</t>
  </si>
  <si>
    <t>• Этажность</t>
  </si>
  <si>
    <t>• Количество квартир</t>
  </si>
  <si>
    <t>• Общая площадь дома с учетом помещений
общего пользования</t>
  </si>
  <si>
    <t>• Общая площадь жилых помещений</t>
  </si>
  <si>
    <t>• Общая площадь нежилых помещений</t>
  </si>
  <si>
    <t>0 кв. м.</t>
  </si>
  <si>
    <t>• Площадь придомовой территории,
входящей в состав общего имущества МКД</t>
  </si>
  <si>
    <t>2154 кв. м. - грунт</t>
  </si>
  <si>
    <t>Содержание общего
имущества МКД (руб.)</t>
  </si>
  <si>
    <t>Текущий ремонт 
общего имущества 
МКД (руб.)</t>
  </si>
  <si>
    <t>1. Начислено</t>
  </si>
  <si>
    <t>2. Оплачено</t>
  </si>
  <si>
    <t>Я. И. Егоров</t>
  </si>
  <si>
    <t>Войкова 64</t>
  </si>
  <si>
    <t>620,3 кв. м.</t>
  </si>
  <si>
    <t>Войкова 66</t>
  </si>
  <si>
    <t>Коперника 3</t>
  </si>
  <si>
    <t>945,6 кв. м.</t>
  </si>
  <si>
    <t>291,3 кв. м. - грунт;
551,3 кв. м. - асфальт</t>
  </si>
  <si>
    <t>Коперника 5</t>
  </si>
  <si>
    <t>913,6 кв. м.</t>
  </si>
  <si>
    <t>1247,1 кв. м. - грунт;
633,5 кв. м. - асфальт</t>
  </si>
  <si>
    <t>Коперника 7</t>
  </si>
  <si>
    <t>894,9 кв. м.</t>
  </si>
  <si>
    <t>1473,2 кв. м. - грунт;
623 кв. м. - асфальт</t>
  </si>
  <si>
    <t>Коперника 8</t>
  </si>
  <si>
    <t>1657,2 кв. м.</t>
  </si>
  <si>
    <t>1716 кв. м. - грунт;
576,09 кв. м. - асфальт</t>
  </si>
  <si>
    <t>Коперника 10</t>
  </si>
  <si>
    <t>1574,9 кв. м.</t>
  </si>
  <si>
    <t>2150,1 кв. м. - грунт;
524 кв. м. - асфальт</t>
  </si>
  <si>
    <t>Коперника 15</t>
  </si>
  <si>
    <t>591 кв. м.</t>
  </si>
  <si>
    <t>110 кв. м. - грунт;
112 кв. м. - асфальт</t>
  </si>
  <si>
    <t>Коперника 17</t>
  </si>
  <si>
    <t>570,9 кв. м.</t>
  </si>
  <si>
    <t>110 кв. м. - грунт;
176,2 кв. м. - асфальт</t>
  </si>
  <si>
    <t>Коперника 19</t>
  </si>
  <si>
    <t>652,1 кв. м.</t>
  </si>
  <si>
    <t>110 кв. м. - грунт;
209,2 кв. м. - асфальт</t>
  </si>
  <si>
    <t>Коперника 23</t>
  </si>
  <si>
    <t>567,4 кв. м.</t>
  </si>
  <si>
    <t>110 кв. м. - грунт;
345 кв. м. - асфальт</t>
  </si>
  <si>
    <t>Коперника 25</t>
  </si>
  <si>
    <t>568,4 кв. м.</t>
  </si>
  <si>
    <t>110 кв. м. - грунт;
216,3 кв. м. - асфальт</t>
  </si>
  <si>
    <t>Линейная 23</t>
  </si>
  <si>
    <t>452,9 кв. м.</t>
  </si>
  <si>
    <t>110 кв. м. - грунт;
92 кв. м. - асфальт</t>
  </si>
  <si>
    <t>Линейная 25</t>
  </si>
  <si>
    <t>435,9 кв. м.</t>
  </si>
  <si>
    <t>Линейная 27</t>
  </si>
  <si>
    <t>628,1 кв. м.</t>
  </si>
  <si>
    <t>110 кв. м. - грунт;
123 кв. м. - асфальт</t>
  </si>
  <si>
    <t>Линейная 30</t>
  </si>
  <si>
    <t>686,4 кв. м.</t>
  </si>
  <si>
    <t>110 кв. м. - грунт;
324 кв. м. - асфальт</t>
  </si>
  <si>
    <t>Магистральная 4</t>
  </si>
  <si>
    <t>675,3 кв. м.</t>
  </si>
  <si>
    <t>110 кв. м. - грунт;
313,3 кв. м. - асфальт</t>
  </si>
  <si>
    <t>Магистральная 6</t>
  </si>
  <si>
    <t>617,1 кв. м.</t>
  </si>
  <si>
    <t>110 кв. м. - грунт;
296,3 кв. м. - асфальт</t>
  </si>
  <si>
    <t>Марины Расковой 16</t>
  </si>
  <si>
    <t>630,8 кв. м.</t>
  </si>
  <si>
    <t>110 кв. м. - грунт;
81,9 кв. м. - асфальт</t>
  </si>
  <si>
    <t>Марины Расковой 22</t>
  </si>
  <si>
    <t>630,3 кв. м.</t>
  </si>
  <si>
    <t>110 кв. м. - грунт;
131 кв. м. - асфальт</t>
  </si>
  <si>
    <t>Перспективная 1</t>
  </si>
  <si>
    <t>1795,6 кв. м.</t>
  </si>
  <si>
    <t>1455,1 кв. м. - грунт;
696,5 кв. м. - асфальт</t>
  </si>
  <si>
    <t>Перспективная 3</t>
  </si>
  <si>
    <t>1787,5 кв. м.</t>
  </si>
  <si>
    <t>2555,7 кв. м. - грунт;
697,4 кв. м. - асфальт</t>
  </si>
  <si>
    <t>Фестивальная 4</t>
  </si>
  <si>
    <t>640,2 кв. м.</t>
  </si>
  <si>
    <t>110 кв. м. - грунт;
224,8 кв. м. - асфальт</t>
  </si>
  <si>
    <t>Фестивальная 8</t>
  </si>
  <si>
    <t>661,7 кв. м.</t>
  </si>
  <si>
    <t>110 кв. м. - грунт;
451,3 кв. м. - асфальт</t>
  </si>
  <si>
    <t>Фестивальная 10</t>
  </si>
  <si>
    <t>663,4 кв. м.</t>
  </si>
  <si>
    <t>110 кв. м. - грунт;
327 кв. м. - асфальт</t>
  </si>
  <si>
    <t>850 кв. м.</t>
  </si>
  <si>
    <t>3.Выполнено</t>
  </si>
  <si>
    <t>Директор ООО "Партнер-1"</t>
  </si>
  <si>
    <t>Главный бухгалтер ООО "Партнер-1"</t>
  </si>
  <si>
    <t>Экономист ООО "Партнер-1"</t>
  </si>
  <si>
    <t>Инженер по ремонту ООО "Партнер-1"</t>
  </si>
  <si>
    <t>Плановые затраты (руб.)</t>
  </si>
  <si>
    <t>Фактические затраты (руб.)</t>
  </si>
  <si>
    <t>Транспортные расходы при санитарной очистке территорий</t>
  </si>
  <si>
    <r>
      <rPr>
        <b/>
        <sz val="10"/>
        <color theme="1"/>
        <rFont val="Times New Roman"/>
        <family val="1"/>
        <charset val="204"/>
      </rPr>
      <t>Содержание аварийно-диспетчерской службы: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инвентарь, спецодежду;
- транспортные расходы</t>
    </r>
  </si>
  <si>
    <r>
      <rPr>
        <b/>
        <sz val="10"/>
        <color theme="1"/>
        <rFont val="Times New Roman"/>
        <family val="1"/>
        <charset val="204"/>
      </rPr>
      <t>Услуги управляющей организации: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и т.д.</t>
    </r>
  </si>
  <si>
    <t>Рентабельность</t>
  </si>
  <si>
    <t>Итого</t>
  </si>
  <si>
    <r>
      <rPr>
        <b/>
        <sz val="10"/>
        <color theme="1"/>
        <rFont val="Times New Roman"/>
        <family val="1"/>
        <charset val="204"/>
      </rPr>
      <t>Санитарное содержание придомовой территории: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 инвентарь;
- покос сорных трав</t>
    </r>
  </si>
  <si>
    <t>Т. В. Павлова</t>
  </si>
  <si>
    <t>Виды работ и затрат</t>
  </si>
  <si>
    <t>периодичность выполнения работ и услуг</t>
  </si>
  <si>
    <t>единица измерения работы/       услуги</t>
  </si>
  <si>
    <t>стоимость выполненной работы/оказанной услуги</t>
  </si>
  <si>
    <r>
      <rPr>
        <b/>
        <sz val="10"/>
        <color theme="1"/>
        <rFont val="Times New Roman"/>
        <family val="1"/>
        <charset val="204"/>
      </rPr>
      <t>Санитарное содержание лестничных клеток: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материалы, инвентарь.</t>
    </r>
  </si>
  <si>
    <t>согласно договора  управления МКД</t>
  </si>
  <si>
    <t>руб.</t>
  </si>
  <si>
    <t>Техническое обслуживание внутридомового газового 
оборудования</t>
  </si>
  <si>
    <t xml:space="preserve">согласно договора  </t>
  </si>
  <si>
    <t>постоянно</t>
  </si>
  <si>
    <r>
      <rPr>
        <b/>
        <sz val="10"/>
        <color theme="1"/>
        <rFont val="Times New Roman"/>
        <family val="1"/>
        <charset val="204"/>
      </rPr>
      <t>Профилактические осмотры внутридомового инженерного
оборудования и конструктивных элементов МКД:</t>
    </r>
    <r>
      <rPr>
        <sz val="10"/>
        <color theme="1"/>
        <rFont val="Times New Roman"/>
        <family val="1"/>
        <charset val="204"/>
      </rPr>
      <t xml:space="preserve">
- затраты на весенние и осенние проверки готовности МКД к эксплуатации;
- затраты на внеочередные осмотры (после ливней, ураганных ветров, снегопадов и других явлений стихийного характера; в случае аварий на внешних коммуникациях и др.);
- ведение документов по учету технического состояния зданий</t>
    </r>
  </si>
  <si>
    <t xml:space="preserve">Текущий ремонт </t>
  </si>
  <si>
    <t>начислено всего</t>
  </si>
  <si>
    <t>Н.Е. Горбатенко</t>
  </si>
  <si>
    <t>Обслуживание ОПУ тепловой энергии</t>
  </si>
  <si>
    <t>Приложение № 1</t>
  </si>
  <si>
    <t>Приложение № 4</t>
  </si>
  <si>
    <t>к протоколу №____общего собрания собственников</t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</si>
  <si>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-амортизация;                                                                                     - транспортные расходы;                                                                   - 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</si>
  <si>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-амортизация;                                                                                     - транспортные расходы;                                                                   - затраты на канц. товары, телефонную связь, на орг. технику;                                                                                    - услуги банка, статистики;                                                                  - услуги информационно-вычислительного центра.</t>
    </r>
  </si>
  <si>
    <t>согласно договора  оказания услуг по содержанию и выполнению работ по ремонту общего имущества МКД</t>
  </si>
  <si>
    <t>круглосуточно</t>
  </si>
  <si>
    <t>Разница                       (+) экономия, (-) долг</t>
  </si>
  <si>
    <t>632,8 кв. м</t>
  </si>
  <si>
    <t>602,9 кв. м</t>
  </si>
  <si>
    <t>860,1 кв. м</t>
  </si>
  <si>
    <t>828,2 кв. м</t>
  </si>
  <si>
    <t>1541,3 кв. м</t>
  </si>
  <si>
    <t>1506,6 кв. м</t>
  </si>
  <si>
    <t>518,8 кв. м</t>
  </si>
  <si>
    <t>508,3 кв. м</t>
  </si>
  <si>
    <t>608,2 кв. м</t>
  </si>
  <si>
    <t>507,3 кв. м</t>
  </si>
  <si>
    <t>518,1 кв. м</t>
  </si>
  <si>
    <t>394,5 кв. м</t>
  </si>
  <si>
    <t>387,8 кв. м</t>
  </si>
  <si>
    <t>577 кв. м</t>
  </si>
  <si>
    <t>624,7 кв. м</t>
  </si>
  <si>
    <t>624,2 кв. м</t>
  </si>
  <si>
    <t>605,7 кв. м</t>
  </si>
  <si>
    <t>604,2 кв. м</t>
  </si>
  <si>
    <t>585,1 кв. м</t>
  </si>
  <si>
    <t>1622,6 кв. м</t>
  </si>
  <si>
    <t>1644,6 кв. м</t>
  </si>
  <si>
    <t>625,5 кв. м</t>
  </si>
  <si>
    <t>612,3 кв. м</t>
  </si>
  <si>
    <t>634,3 кв. м</t>
  </si>
  <si>
    <t>Возврат за размещения имущества ОАО "Ростелеком"</t>
  </si>
  <si>
    <r>
      <t>4.Остаток на начало отчетного периода</t>
    </r>
    <r>
      <rPr>
        <sz val="8"/>
        <color theme="1"/>
        <rFont val="Times New Roman"/>
        <family val="1"/>
        <charset val="204"/>
      </rPr>
      <t xml:space="preserve"> ("Оплачено" минус "Выполнено")
("-" - перевыполнено работ (долг); "+" - недовыполнено работ (экономия))</t>
    </r>
  </si>
  <si>
    <r>
      <t>4.Остаток на конец отчетного периода</t>
    </r>
    <r>
      <rPr>
        <sz val="8"/>
        <color theme="1"/>
        <rFont val="Times New Roman"/>
        <family val="1"/>
        <charset val="204"/>
      </rPr>
      <t xml:space="preserve"> ("Оплачено" минус "Выполнено")
("-" - перевыполнено работ (долг); "+" - недовыполнено работ (экономия))</t>
    </r>
  </si>
  <si>
    <t>начислено содержание жилья</t>
  </si>
  <si>
    <t>факт содержание жилья</t>
  </si>
  <si>
    <t>_________________________</t>
  </si>
  <si>
    <t>__________________________</t>
  </si>
  <si>
    <t>_______________________________</t>
  </si>
  <si>
    <t xml:space="preserve">ст-ть на 1 кв. м общей жилой  площади (руб. в мес.)  2018 </t>
  </si>
  <si>
    <t>Переходящие остатки денежных средств на 01.01.2019 года</t>
  </si>
  <si>
    <t>период с 01.07.2013 года по 31.12.2018 года</t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</si>
  <si>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 -амортизация;                                                                                       - транспортные расходы;                                                                     - 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</si>
  <si>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t>помещения МКД № 1 по ул. Перспективная, г. Новошахтинска</t>
  </si>
  <si>
    <t>помещения МКД № 3 по ул. Перспективная, г. Новошахтинска</t>
  </si>
  <si>
    <t>Ежегодный отчет  ООО "Партнер-1" о выполнении Договора о деятельности за отчетный период с 01.01.2019 г. по 31.12.2019 г.</t>
  </si>
  <si>
    <t>Отчет об оказанных услугах и выполненных работах по содержанию и текущему ремонту общего имущества в МКД за 2019 год</t>
  </si>
  <si>
    <t xml:space="preserve">ст-ть на 1 кв. м общей жилой  площади (руб. в мес.)  2019 </t>
  </si>
  <si>
    <t>Переходящие остатки денежных средств на 01.01.2020 года</t>
  </si>
  <si>
    <t>период с 01.07.2013 года по 31.12.2019 года</t>
  </si>
  <si>
    <t>ст-ть на 1 кв. м общей жилой  площади (руб. в мес.)  2019</t>
  </si>
  <si>
    <t>от _______________________2020 г.</t>
  </si>
  <si>
    <t>Ежегодный отчет Управляющей организации ООО "Партнер-1" о выполнении Договора о деятельности за отчетный период с 01.01.2019 г. по 31.12.2019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</si>
</sst>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2" fontId="4" fillId="0" borderId="0" xfId="0" applyNumberFormat="1" applyFont="1" applyFill="1"/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0" fontId="11" fillId="0" borderId="35" xfId="0" applyFont="1" applyFill="1" applyBorder="1" applyAlignment="1">
      <alignment horizontal="left" vertical="center" wrapText="1"/>
    </xf>
    <xf numFmtId="2" fontId="5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/>
    <xf numFmtId="2" fontId="5" fillId="0" borderId="0" xfId="0" applyNumberFormat="1" applyFont="1" applyFill="1" applyBorder="1"/>
    <xf numFmtId="2" fontId="2" fillId="0" borderId="0" xfId="0" applyNumberFormat="1" applyFont="1" applyFill="1"/>
    <xf numFmtId="0" fontId="5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wrapText="1"/>
    </xf>
    <xf numFmtId="2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 shrinkToFi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vertical="top" wrapText="1"/>
    </xf>
    <xf numFmtId="0" fontId="8" fillId="0" borderId="35" xfId="0" applyFont="1" applyFill="1" applyBorder="1" applyAlignment="1">
      <alignment horizontal="center" vertical="center" wrapText="1"/>
    </xf>
    <xf numFmtId="2" fontId="5" fillId="0" borderId="36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37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2" fontId="3" fillId="0" borderId="0" xfId="0" applyNumberFormat="1" applyFont="1" applyFill="1"/>
    <xf numFmtId="0" fontId="5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left" wrapText="1"/>
    </xf>
    <xf numFmtId="0" fontId="8" fillId="0" borderId="35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vertical="top" wrapText="1"/>
    </xf>
    <xf numFmtId="0" fontId="8" fillId="0" borderId="40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center" vertical="center" wrapText="1"/>
    </xf>
    <xf numFmtId="2" fontId="5" fillId="0" borderId="41" xfId="0" applyNumberFormat="1" applyFont="1" applyFill="1" applyBorder="1" applyAlignment="1">
      <alignment horizontal="center" vertical="center"/>
    </xf>
    <xf numFmtId="2" fontId="3" fillId="0" borderId="4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2" fontId="3" fillId="0" borderId="18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5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20" xfId="0" applyFont="1" applyFill="1" applyBorder="1"/>
    <xf numFmtId="0" fontId="2" fillId="0" borderId="0" xfId="0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9" xfId="0" applyFont="1" applyFill="1" applyBorder="1" applyAlignment="1">
      <alignment vertical="top" wrapText="1"/>
    </xf>
    <xf numFmtId="0" fontId="8" fillId="0" borderId="10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8" fillId="0" borderId="6" xfId="0" applyFont="1" applyFill="1" applyBorder="1" applyAlignment="1">
      <alignment horizontal="left"/>
    </xf>
    <xf numFmtId="0" fontId="3" fillId="0" borderId="9" xfId="0" applyFont="1" applyFill="1" applyBorder="1"/>
    <xf numFmtId="0" fontId="3" fillId="0" borderId="10" xfId="0" applyFont="1" applyFill="1" applyBorder="1"/>
    <xf numFmtId="2" fontId="3" fillId="0" borderId="13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 wrapText="1"/>
    </xf>
    <xf numFmtId="0" fontId="5" fillId="0" borderId="34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4" fillId="0" borderId="0" xfId="0" applyFont="1" applyFill="1" applyBorder="1"/>
    <xf numFmtId="0" fontId="3" fillId="0" borderId="5" xfId="0" applyFont="1" applyFill="1" applyBorder="1" applyAlignment="1">
      <alignment wrapText="1"/>
    </xf>
    <xf numFmtId="0" fontId="3" fillId="0" borderId="39" xfId="0" applyFont="1" applyFill="1" applyBorder="1" applyAlignment="1">
      <alignment wrapText="1"/>
    </xf>
    <xf numFmtId="2" fontId="3" fillId="0" borderId="4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5" fillId="0" borderId="38" xfId="0" applyFont="1" applyFill="1" applyBorder="1" applyAlignment="1">
      <alignment vertical="center" wrapText="1"/>
    </xf>
    <xf numFmtId="0" fontId="0" fillId="0" borderId="0" xfId="0" applyFill="1" applyAlignment="1"/>
    <xf numFmtId="2" fontId="5" fillId="0" borderId="38" xfId="0" applyNumberFormat="1" applyFont="1" applyFill="1" applyBorder="1" applyAlignment="1"/>
    <xf numFmtId="0" fontId="3" fillId="0" borderId="0" xfId="0" applyFont="1" applyFill="1" applyAlignment="1"/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/>
    <xf numFmtId="2" fontId="5" fillId="0" borderId="3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8" fillId="0" borderId="0" xfId="0" applyFont="1" applyFill="1"/>
    <xf numFmtId="16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wrapText="1"/>
    </xf>
    <xf numFmtId="164" fontId="8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4" xfId="0" applyFont="1" applyFill="1" applyBorder="1"/>
    <xf numFmtId="2" fontId="3" fillId="0" borderId="0" xfId="0" applyNumberFormat="1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2" fontId="5" fillId="0" borderId="13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2" fontId="2" fillId="0" borderId="0" xfId="0" applyNumberFormat="1" applyFont="1" applyFill="1" applyBorder="1"/>
    <xf numFmtId="0" fontId="5" fillId="0" borderId="0" xfId="0" applyFont="1" applyFill="1" applyAlignment="1">
      <alignment horizontal="right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2" fontId="5" fillId="0" borderId="15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2" fontId="5" fillId="0" borderId="36" xfId="0" applyNumberFormat="1" applyFont="1" applyFill="1" applyBorder="1" applyAlignment="1">
      <alignment horizontal="center"/>
    </xf>
    <xf numFmtId="2" fontId="5" fillId="0" borderId="35" xfId="0" applyNumberFormat="1" applyFont="1" applyFill="1" applyBorder="1" applyAlignment="1">
      <alignment horizontal="center"/>
    </xf>
    <xf numFmtId="2" fontId="5" fillId="0" borderId="21" xfId="0" applyNumberFormat="1" applyFont="1" applyFill="1" applyBorder="1" applyAlignment="1">
      <alignment horizontal="center"/>
    </xf>
    <xf numFmtId="2" fontId="5" fillId="0" borderId="16" xfId="0" applyNumberFormat="1" applyFont="1" applyFill="1" applyBorder="1" applyAlignment="1">
      <alignment horizontal="center"/>
    </xf>
    <xf numFmtId="2" fontId="5" fillId="0" borderId="13" xfId="0" applyNumberFormat="1" applyFont="1" applyFill="1" applyBorder="1" applyAlignment="1">
      <alignment horizontal="center"/>
    </xf>
    <xf numFmtId="2" fontId="5" fillId="0" borderId="1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5" fillId="0" borderId="41" xfId="0" applyNumberFormat="1" applyFont="1" applyFill="1" applyBorder="1" applyAlignment="1">
      <alignment horizontal="center"/>
    </xf>
    <xf numFmtId="2" fontId="5" fillId="0" borderId="40" xfId="0" applyNumberFormat="1" applyFont="1" applyFill="1" applyBorder="1" applyAlignment="1">
      <alignment horizontal="center"/>
    </xf>
    <xf numFmtId="2" fontId="5" fillId="0" borderId="44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2" fontId="3" fillId="0" borderId="18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/>
    </xf>
    <xf numFmtId="2" fontId="3" fillId="0" borderId="19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2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 shrinkToFit="1"/>
    </xf>
    <xf numFmtId="0" fontId="9" fillId="0" borderId="23" xfId="0" applyFont="1" applyFill="1" applyBorder="1" applyAlignment="1">
      <alignment horizontal="center" vertical="center" wrapText="1" shrinkToFit="1"/>
    </xf>
    <xf numFmtId="2" fontId="9" fillId="0" borderId="29" xfId="0" applyNumberFormat="1" applyFont="1" applyFill="1" applyBorder="1" applyAlignment="1">
      <alignment horizontal="center" vertical="center" wrapText="1"/>
    </xf>
    <xf numFmtId="2" fontId="9" fillId="0" borderId="24" xfId="0" applyNumberFormat="1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 shrinkToFit="1"/>
    </xf>
    <xf numFmtId="0" fontId="9" fillId="0" borderId="31" xfId="0" applyFont="1" applyFill="1" applyBorder="1" applyAlignment="1">
      <alignment horizontal="center" vertical="center" wrapText="1" shrinkToFi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5" fillId="0" borderId="6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2" fontId="5" fillId="0" borderId="17" xfId="0" applyNumberFormat="1" applyFont="1" applyFill="1" applyBorder="1" applyAlignment="1">
      <alignment horizontal="center"/>
    </xf>
    <xf numFmtId="2" fontId="5" fillId="0" borderId="31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wrapText="1" shrinkToFit="1"/>
    </xf>
    <xf numFmtId="0" fontId="5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 wrapText="1"/>
    </xf>
    <xf numFmtId="2" fontId="5" fillId="0" borderId="18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2" fillId="0" borderId="26" xfId="0" applyFont="1" applyFill="1" applyBorder="1" applyAlignment="1">
      <alignment horizontal="center" wrapText="1" shrinkToFit="1"/>
    </xf>
    <xf numFmtId="0" fontId="13" fillId="0" borderId="0" xfId="0" applyFont="1" applyFill="1"/>
    <xf numFmtId="0" fontId="13" fillId="0" borderId="25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7" xfId="0" applyFont="1" applyFill="1" applyBorder="1"/>
    <xf numFmtId="2" fontId="13" fillId="0" borderId="7" xfId="0" applyNumberFormat="1" applyFont="1" applyFill="1" applyBorder="1"/>
    <xf numFmtId="0" fontId="14" fillId="0" borderId="0" xfId="0" applyFont="1" applyFill="1"/>
    <xf numFmtId="0" fontId="13" fillId="0" borderId="0" xfId="0" applyFont="1" applyFill="1" applyAlignment="1">
      <alignment horizontal="center" vertical="center"/>
    </xf>
    <xf numFmtId="2" fontId="15" fillId="0" borderId="0" xfId="0" applyNumberFormat="1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3" fillId="0" borderId="0" xfId="0" applyFont="1" applyFill="1" applyAlignment="1"/>
    <xf numFmtId="0" fontId="17" fillId="0" borderId="0" xfId="0" applyFont="1" applyFill="1" applyAlignment="1">
      <alignment horizontal="center" vertical="center"/>
    </xf>
    <xf numFmtId="2" fontId="13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49"/>
  <sheetViews>
    <sheetView topLeftCell="A3" zoomScale="110" zoomScaleNormal="110" workbookViewId="0">
      <selection activeCell="B22" sqref="B22:B23"/>
    </sheetView>
  </sheetViews>
  <sheetFormatPr defaultColWidth="9.140625" defaultRowHeight="15.75" outlineLevelRow="1" x14ac:dyDescent="0.25"/>
  <cols>
    <col min="1" max="1" width="2.85546875" style="3" customWidth="1"/>
    <col min="2" max="2" width="56.28515625" style="3" customWidth="1"/>
    <col min="3" max="3" width="23.5703125" style="135" customWidth="1"/>
    <col min="4" max="4" width="9.42578125" style="136" customWidth="1"/>
    <col min="5" max="5" width="10.28515625" style="136" customWidth="1"/>
    <col min="6" max="6" width="10.42578125" style="3" customWidth="1"/>
    <col min="7" max="7" width="10.28515625" style="3" customWidth="1"/>
    <col min="8" max="8" width="10.85546875" style="3" customWidth="1"/>
    <col min="9" max="9" width="10.7109375" style="3" bestFit="1" customWidth="1"/>
    <col min="10" max="12" width="9.140625" style="3"/>
    <col min="13" max="13" width="13" style="194" customWidth="1"/>
    <col min="14" max="14" width="12.85546875" style="194" customWidth="1"/>
    <col min="15" max="16384" width="9.140625" style="3"/>
  </cols>
  <sheetData>
    <row r="1" spans="1:9" x14ac:dyDescent="0.25">
      <c r="B1" s="161" t="s">
        <v>116</v>
      </c>
      <c r="C1" s="161"/>
      <c r="D1" s="161"/>
      <c r="E1" s="161"/>
      <c r="F1" s="161"/>
      <c r="G1" s="161"/>
      <c r="H1" s="161"/>
    </row>
    <row r="2" spans="1:9" ht="19.5" customHeight="1" x14ac:dyDescent="0.3">
      <c r="A2" s="14"/>
      <c r="B2" s="185" t="s">
        <v>162</v>
      </c>
      <c r="C2" s="185"/>
      <c r="D2" s="185"/>
      <c r="E2" s="185"/>
      <c r="F2" s="185"/>
      <c r="G2" s="185"/>
      <c r="H2" s="185"/>
    </row>
    <row r="3" spans="1:9" ht="20.25" customHeight="1" x14ac:dyDescent="0.3">
      <c r="A3" s="14"/>
      <c r="B3" s="185"/>
      <c r="C3" s="185"/>
      <c r="D3" s="185"/>
      <c r="E3" s="185"/>
      <c r="F3" s="185"/>
      <c r="G3" s="185"/>
      <c r="H3" s="185"/>
    </row>
    <row r="4" spans="1:9" ht="13.5" customHeight="1" x14ac:dyDescent="0.35">
      <c r="A4" s="14"/>
      <c r="B4" s="133"/>
      <c r="C4" s="133"/>
      <c r="D4" s="133"/>
      <c r="E4" s="133"/>
      <c r="F4" s="133"/>
      <c r="G4" s="133"/>
      <c r="H4" s="133"/>
    </row>
    <row r="5" spans="1:9" x14ac:dyDescent="0.25">
      <c r="B5" s="3" t="s">
        <v>0</v>
      </c>
      <c r="D5" s="172" t="s">
        <v>15</v>
      </c>
      <c r="E5" s="172"/>
    </row>
    <row r="6" spans="1:9" x14ac:dyDescent="0.25">
      <c r="B6" s="3" t="s">
        <v>1</v>
      </c>
      <c r="D6" s="126">
        <v>1962</v>
      </c>
      <c r="E6" s="126"/>
    </row>
    <row r="7" spans="1:9" hidden="1" outlineLevel="1" x14ac:dyDescent="0.25">
      <c r="B7" s="3" t="s">
        <v>2</v>
      </c>
      <c r="D7" s="126">
        <v>2</v>
      </c>
      <c r="E7" s="126"/>
    </row>
    <row r="8" spans="1:9" hidden="1" outlineLevel="1" x14ac:dyDescent="0.25">
      <c r="B8" s="3" t="s">
        <v>3</v>
      </c>
      <c r="D8" s="126">
        <v>16</v>
      </c>
      <c r="E8" s="126"/>
    </row>
    <row r="9" spans="1:9" ht="30.75" hidden="1" customHeight="1" outlineLevel="1" x14ac:dyDescent="0.25">
      <c r="B9" s="17" t="s">
        <v>4</v>
      </c>
      <c r="C9" s="18"/>
      <c r="D9" s="126" t="s">
        <v>16</v>
      </c>
      <c r="E9" s="126"/>
    </row>
    <row r="10" spans="1:9" collapsed="1" x14ac:dyDescent="0.25">
      <c r="B10" s="3" t="s">
        <v>5</v>
      </c>
      <c r="D10" s="126" t="s">
        <v>124</v>
      </c>
      <c r="E10" s="126"/>
      <c r="I10" s="12"/>
    </row>
    <row r="11" spans="1:9" hidden="1" outlineLevel="1" x14ac:dyDescent="0.25">
      <c r="B11" s="3" t="s">
        <v>6</v>
      </c>
      <c r="D11" s="126" t="s">
        <v>7</v>
      </c>
      <c r="E11" s="126"/>
    </row>
    <row r="12" spans="1:9" ht="30.75" hidden="1" customHeight="1" outlineLevel="1" x14ac:dyDescent="0.25">
      <c r="B12" s="17" t="s">
        <v>8</v>
      </c>
      <c r="C12" s="18"/>
      <c r="D12" s="138" t="s">
        <v>9</v>
      </c>
      <c r="E12" s="126"/>
      <c r="I12" s="12"/>
    </row>
    <row r="13" spans="1:9" collapsed="1" x14ac:dyDescent="0.25">
      <c r="B13" s="17"/>
      <c r="C13" s="18"/>
      <c r="D13" s="138"/>
      <c r="E13" s="126"/>
      <c r="I13" s="12"/>
    </row>
    <row r="14" spans="1:9" ht="16.5" thickBot="1" x14ac:dyDescent="0.3">
      <c r="B14" s="188" t="s">
        <v>157</v>
      </c>
      <c r="C14" s="188"/>
      <c r="D14" s="188"/>
      <c r="E14" s="188"/>
      <c r="F14" s="188"/>
      <c r="G14" s="188"/>
      <c r="H14" s="188"/>
      <c r="I14" s="12"/>
    </row>
    <row r="15" spans="1:9" ht="42" customHeight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  <c r="I15" s="12"/>
    </row>
    <row r="16" spans="1:9" x14ac:dyDescent="0.25">
      <c r="B16" s="111" t="s">
        <v>12</v>
      </c>
      <c r="C16" s="139">
        <v>619782.61999999988</v>
      </c>
      <c r="D16" s="175"/>
      <c r="E16" s="143">
        <v>438824.39999999997</v>
      </c>
      <c r="F16" s="144"/>
      <c r="G16" s="143">
        <v>180958.21999999997</v>
      </c>
      <c r="H16" s="145"/>
      <c r="I16" s="12"/>
    </row>
    <row r="17" spans="2:14" x14ac:dyDescent="0.25">
      <c r="B17" s="52" t="s">
        <v>13</v>
      </c>
      <c r="C17" s="141">
        <v>542367.05999999994</v>
      </c>
      <c r="D17" s="173"/>
      <c r="E17" s="141">
        <v>383604.47</v>
      </c>
      <c r="F17" s="142"/>
      <c r="G17" s="141">
        <v>158762.58999999997</v>
      </c>
      <c r="H17" s="146"/>
      <c r="I17" s="12"/>
    </row>
    <row r="18" spans="2:14" ht="16.5" thickBot="1" x14ac:dyDescent="0.3">
      <c r="B18" s="54" t="s">
        <v>87</v>
      </c>
      <c r="C18" s="147">
        <v>591276.00289999996</v>
      </c>
      <c r="D18" s="174"/>
      <c r="E18" s="150">
        <v>447166.00289999996</v>
      </c>
      <c r="F18" s="151"/>
      <c r="G18" s="150">
        <v>144110</v>
      </c>
      <c r="H18" s="152"/>
      <c r="I18" s="12"/>
    </row>
    <row r="19" spans="2:14" ht="36.75" thickBot="1" x14ac:dyDescent="0.3">
      <c r="B19" s="13" t="s">
        <v>149</v>
      </c>
      <c r="C19" s="156">
        <f>E19+G19</f>
        <v>-48908.942900000024</v>
      </c>
      <c r="D19" s="157"/>
      <c r="E19" s="154">
        <f>E17-E18</f>
        <v>-63561.532899999991</v>
      </c>
      <c r="F19" s="155"/>
      <c r="G19" s="154">
        <f>G17-G18</f>
        <v>14652.589999999967</v>
      </c>
      <c r="H19" s="158"/>
      <c r="I19" s="12"/>
    </row>
    <row r="20" spans="2:14" x14ac:dyDescent="0.25">
      <c r="B20" s="17"/>
      <c r="C20" s="18"/>
      <c r="D20" s="138"/>
      <c r="E20" s="126"/>
      <c r="I20" s="12"/>
    </row>
    <row r="21" spans="2:14" ht="22.5" customHeight="1" thickBot="1" x14ac:dyDescent="0.3">
      <c r="B21" s="193" t="s">
        <v>163</v>
      </c>
      <c r="C21" s="193"/>
      <c r="D21" s="193"/>
      <c r="E21" s="193"/>
      <c r="F21" s="193"/>
      <c r="G21" s="193"/>
      <c r="H21" s="193"/>
      <c r="I21" s="19"/>
      <c r="J21" s="19"/>
      <c r="L21" s="12"/>
      <c r="M21" s="195" t="s">
        <v>151</v>
      </c>
      <c r="N21" s="195" t="s">
        <v>152</v>
      </c>
    </row>
    <row r="22" spans="2:14" ht="27.75" customHeight="1" x14ac:dyDescent="0.25">
      <c r="B22" s="162" t="s">
        <v>101</v>
      </c>
      <c r="C22" s="164" t="s">
        <v>102</v>
      </c>
      <c r="D22" s="164" t="s">
        <v>103</v>
      </c>
      <c r="E22" s="166" t="s">
        <v>164</v>
      </c>
      <c r="F22" s="168" t="s">
        <v>104</v>
      </c>
      <c r="G22" s="169"/>
      <c r="H22" s="170" t="s">
        <v>123</v>
      </c>
      <c r="I22" s="20"/>
      <c r="J22" s="20"/>
      <c r="L22" s="12"/>
      <c r="M22" s="196"/>
      <c r="N22" s="196"/>
    </row>
    <row r="23" spans="2:14" ht="45" customHeight="1" thickBot="1" x14ac:dyDescent="0.3">
      <c r="B23" s="163"/>
      <c r="C23" s="165"/>
      <c r="D23" s="165"/>
      <c r="E23" s="167"/>
      <c r="F23" s="21" t="s">
        <v>92</v>
      </c>
      <c r="G23" s="22" t="s">
        <v>93</v>
      </c>
      <c r="H23" s="171"/>
      <c r="I23" s="20"/>
      <c r="J23" s="20"/>
      <c r="M23" s="197">
        <v>71611.95</v>
      </c>
      <c r="N23" s="197">
        <f>71611.95*1.01</f>
        <v>72328.069499999998</v>
      </c>
    </row>
    <row r="24" spans="2:14" ht="50.25" customHeight="1" x14ac:dyDescent="0.25">
      <c r="B24" s="23" t="s">
        <v>105</v>
      </c>
      <c r="C24" s="7" t="s">
        <v>121</v>
      </c>
      <c r="D24" s="24" t="s">
        <v>107</v>
      </c>
      <c r="E24" s="25">
        <v>0</v>
      </c>
      <c r="F24" s="26">
        <f>$M$23/$M$24*E24</f>
        <v>0</v>
      </c>
      <c r="G24" s="27">
        <f>$N$23/$N$24*E24</f>
        <v>0</v>
      </c>
      <c r="H24" s="28">
        <f>F24-G24</f>
        <v>0</v>
      </c>
      <c r="I24" s="29"/>
      <c r="J24" s="29"/>
      <c r="K24" s="134"/>
      <c r="L24" s="31"/>
      <c r="M24" s="198">
        <f>E33-E31</f>
        <v>9.7100000000000009</v>
      </c>
      <c r="N24" s="198">
        <f>E33-E31</f>
        <v>9.7100000000000009</v>
      </c>
    </row>
    <row r="25" spans="2:14" ht="51" x14ac:dyDescent="0.25">
      <c r="B25" s="32" t="s">
        <v>99</v>
      </c>
      <c r="C25" s="7" t="s">
        <v>121</v>
      </c>
      <c r="D25" s="24" t="s">
        <v>107</v>
      </c>
      <c r="E25" s="8">
        <v>1.19</v>
      </c>
      <c r="F25" s="26">
        <f>$M$23/$M$24*E25</f>
        <v>8776.3357878475781</v>
      </c>
      <c r="G25" s="27">
        <f>$N$23/$N$24*E25</f>
        <v>8864.0991457260552</v>
      </c>
      <c r="H25" s="28">
        <f t="shared" ref="H25:H30" si="0">F25-G25</f>
        <v>-87.763357878477109</v>
      </c>
      <c r="I25" s="29"/>
      <c r="J25" s="29"/>
      <c r="K25" s="2"/>
      <c r="L25" s="2"/>
      <c r="M25" s="199"/>
      <c r="N25" s="199"/>
    </row>
    <row r="26" spans="2:14" ht="52.5" customHeight="1" x14ac:dyDescent="0.25">
      <c r="B26" s="33" t="s">
        <v>94</v>
      </c>
      <c r="C26" s="7" t="s">
        <v>121</v>
      </c>
      <c r="D26" s="24" t="s">
        <v>107</v>
      </c>
      <c r="E26" s="8">
        <v>0.32</v>
      </c>
      <c r="F26" s="26">
        <f t="shared" ref="F26:F32" si="1">$M$23/$M$24*E26</f>
        <v>2360.0230690010299</v>
      </c>
      <c r="G26" s="27">
        <f t="shared" ref="G26:G29" si="2">$N$23/$N$24*E26</f>
        <v>2383.6232996910398</v>
      </c>
      <c r="H26" s="28">
        <f t="shared" si="0"/>
        <v>-23.600230690009994</v>
      </c>
      <c r="I26" s="29"/>
      <c r="J26" s="29"/>
      <c r="L26" s="12"/>
    </row>
    <row r="27" spans="2:14" ht="25.5" x14ac:dyDescent="0.25">
      <c r="B27" s="33" t="s">
        <v>108</v>
      </c>
      <c r="C27" s="34" t="s">
        <v>109</v>
      </c>
      <c r="D27" s="24" t="s">
        <v>107</v>
      </c>
      <c r="E27" s="8">
        <v>0</v>
      </c>
      <c r="F27" s="26">
        <f t="shared" si="1"/>
        <v>0</v>
      </c>
      <c r="G27" s="27">
        <f t="shared" si="2"/>
        <v>0</v>
      </c>
      <c r="H27" s="28">
        <f t="shared" si="0"/>
        <v>0</v>
      </c>
      <c r="I27" s="29"/>
      <c r="J27" s="29"/>
      <c r="L27" s="12"/>
    </row>
    <row r="28" spans="2:14" ht="51" x14ac:dyDescent="0.25">
      <c r="B28" s="32" t="s">
        <v>95</v>
      </c>
      <c r="C28" s="7" t="s">
        <v>122</v>
      </c>
      <c r="D28" s="24" t="s">
        <v>107</v>
      </c>
      <c r="E28" s="8">
        <v>1.18</v>
      </c>
      <c r="F28" s="26">
        <f t="shared" si="1"/>
        <v>8702.5850669412957</v>
      </c>
      <c r="G28" s="27">
        <f t="shared" si="2"/>
        <v>8789.6109176107093</v>
      </c>
      <c r="H28" s="28">
        <f t="shared" si="0"/>
        <v>-87.025850669413558</v>
      </c>
      <c r="I28" s="29"/>
      <c r="J28" s="29"/>
    </row>
    <row r="29" spans="2:14" ht="216.75" customHeight="1" x14ac:dyDescent="0.25">
      <c r="B29" s="32" t="s">
        <v>159</v>
      </c>
      <c r="C29" s="35" t="s">
        <v>110</v>
      </c>
      <c r="D29" s="24" t="s">
        <v>107</v>
      </c>
      <c r="E29" s="8">
        <v>5.61</v>
      </c>
      <c r="F29" s="26">
        <f t="shared" si="1"/>
        <v>41374.154428424306</v>
      </c>
      <c r="G29" s="27">
        <f t="shared" si="2"/>
        <v>41787.895972708546</v>
      </c>
      <c r="H29" s="28">
        <f t="shared" si="0"/>
        <v>-413.74154428423935</v>
      </c>
      <c r="I29" s="29"/>
      <c r="J29" s="29"/>
      <c r="K29" s="2"/>
      <c r="L29" s="1"/>
      <c r="M29" s="199"/>
      <c r="N29" s="199"/>
    </row>
    <row r="30" spans="2:14" ht="120" customHeight="1" x14ac:dyDescent="0.25">
      <c r="B30" s="32" t="s">
        <v>111</v>
      </c>
      <c r="C30" s="7" t="s">
        <v>121</v>
      </c>
      <c r="D30" s="24" t="s">
        <v>107</v>
      </c>
      <c r="E30" s="8">
        <v>0.19</v>
      </c>
      <c r="F30" s="26">
        <f t="shared" si="1"/>
        <v>1401.2636972193613</v>
      </c>
      <c r="G30" s="27">
        <f t="shared" ref="G30" si="3">$N$23/$N$24*E30</f>
        <v>1415.276334191555</v>
      </c>
      <c r="H30" s="28">
        <f t="shared" si="0"/>
        <v>-14.012636972193604</v>
      </c>
      <c r="I30" s="29"/>
      <c r="J30" s="29"/>
    </row>
    <row r="31" spans="2:14" ht="49.5" customHeight="1" x14ac:dyDescent="0.25">
      <c r="B31" s="33" t="s">
        <v>112</v>
      </c>
      <c r="C31" s="7" t="s">
        <v>121</v>
      </c>
      <c r="D31" s="24" t="s">
        <v>107</v>
      </c>
      <c r="E31" s="8">
        <v>4.6900000000000004</v>
      </c>
      <c r="F31" s="26">
        <v>35616.129999999997</v>
      </c>
      <c r="G31" s="5">
        <v>8400</v>
      </c>
      <c r="H31" s="28">
        <f>F31-G31</f>
        <v>27216.129999999997</v>
      </c>
      <c r="I31" s="29"/>
      <c r="J31" s="29"/>
      <c r="L31" s="12"/>
    </row>
    <row r="32" spans="2:14" ht="16.5" thickBot="1" x14ac:dyDescent="0.3">
      <c r="B32" s="36" t="s">
        <v>97</v>
      </c>
      <c r="C32" s="37" t="s">
        <v>110</v>
      </c>
      <c r="D32" s="38" t="s">
        <v>107</v>
      </c>
      <c r="E32" s="39">
        <f>1.07+0.15</f>
        <v>1.22</v>
      </c>
      <c r="F32" s="26">
        <f t="shared" si="1"/>
        <v>8997.5879505664252</v>
      </c>
      <c r="G32" s="27">
        <f t="shared" ref="G32" si="4">$N$23/$N$24*E32</f>
        <v>9087.5638300720893</v>
      </c>
      <c r="H32" s="40">
        <f>F32-G32</f>
        <v>-89.975879505664125</v>
      </c>
      <c r="I32" s="29"/>
      <c r="J32" s="29"/>
    </row>
    <row r="33" spans="2:14" ht="16.5" thickBot="1" x14ac:dyDescent="0.3">
      <c r="B33" s="41" t="s">
        <v>98</v>
      </c>
      <c r="C33" s="42"/>
      <c r="D33" s="42"/>
      <c r="E33" s="43">
        <f>SUM(E24:E32)</f>
        <v>14.4</v>
      </c>
      <c r="F33" s="44">
        <f>SUM(F24:F32)</f>
        <v>107228.08</v>
      </c>
      <c r="G33" s="45">
        <f>SUM(G24:G32)</f>
        <v>80728.069499999998</v>
      </c>
      <c r="H33" s="46">
        <f>SUM(H24:H32)</f>
        <v>26500.010499999997</v>
      </c>
      <c r="I33" s="47"/>
      <c r="J33" s="47"/>
    </row>
    <row r="34" spans="2:14" x14ac:dyDescent="0.25">
      <c r="B34" s="12"/>
      <c r="C34" s="12"/>
      <c r="D34" s="12"/>
      <c r="E34" s="135"/>
      <c r="F34" s="135"/>
      <c r="G34" s="135"/>
      <c r="H34" s="136"/>
      <c r="I34" s="136"/>
      <c r="J34" s="136"/>
    </row>
    <row r="35" spans="2:14" ht="16.5" customHeight="1" thickBot="1" x14ac:dyDescent="0.3">
      <c r="B35" s="188" t="s">
        <v>165</v>
      </c>
      <c r="C35" s="188"/>
      <c r="D35" s="188"/>
      <c r="E35" s="188"/>
      <c r="F35" s="188"/>
      <c r="G35" s="188"/>
      <c r="H35" s="188"/>
      <c r="I35" s="48"/>
      <c r="J35" s="48"/>
    </row>
    <row r="36" spans="2:14" ht="44.25" customHeight="1" thickBot="1" x14ac:dyDescent="0.3">
      <c r="B36" s="110" t="s">
        <v>166</v>
      </c>
      <c r="C36" s="186" t="s">
        <v>113</v>
      </c>
      <c r="D36" s="187"/>
      <c r="E36" s="181" t="s">
        <v>10</v>
      </c>
      <c r="F36" s="189"/>
      <c r="G36" s="181" t="s">
        <v>11</v>
      </c>
      <c r="H36" s="182"/>
      <c r="I36" s="49"/>
      <c r="J36" s="49"/>
      <c r="K36" s="50"/>
      <c r="L36" s="51"/>
      <c r="M36" s="200"/>
      <c r="N36" s="200"/>
    </row>
    <row r="37" spans="2:14" x14ac:dyDescent="0.25">
      <c r="B37" s="111" t="s">
        <v>12</v>
      </c>
      <c r="C37" s="139">
        <f>E37+G37</f>
        <v>727010.7</v>
      </c>
      <c r="D37" s="140"/>
      <c r="E37" s="143">
        <f>F24+F25+F26+F27+F28+F29+F30+F32+E16</f>
        <v>510436.35</v>
      </c>
      <c r="F37" s="144"/>
      <c r="G37" s="143">
        <f>F31+G16</f>
        <v>216574.34999999998</v>
      </c>
      <c r="H37" s="145"/>
      <c r="I37" s="53"/>
      <c r="J37" s="53"/>
      <c r="K37" s="9"/>
      <c r="L37" s="9"/>
      <c r="M37" s="201"/>
    </row>
    <row r="38" spans="2:14" x14ac:dyDescent="0.25">
      <c r="B38" s="52" t="s">
        <v>13</v>
      </c>
      <c r="C38" s="141">
        <f>E38+G38</f>
        <v>630165.8899999999</v>
      </c>
      <c r="D38" s="142"/>
      <c r="E38" s="141">
        <f>E17+58636.19</f>
        <v>442240.66</v>
      </c>
      <c r="F38" s="142"/>
      <c r="G38" s="141">
        <f>G17+29162.64</f>
        <v>187925.22999999998</v>
      </c>
      <c r="H38" s="146"/>
      <c r="I38" s="53"/>
      <c r="J38" s="53"/>
      <c r="K38" s="11"/>
      <c r="L38" s="9"/>
      <c r="M38" s="201"/>
    </row>
    <row r="39" spans="2:14" ht="16.5" thickBot="1" x14ac:dyDescent="0.3">
      <c r="B39" s="54" t="s">
        <v>87</v>
      </c>
      <c r="C39" s="147">
        <f>E39+G39</f>
        <v>672004.07239999995</v>
      </c>
      <c r="D39" s="148"/>
      <c r="E39" s="150">
        <f>G24+G25+G26+G27+G28+G29+G30+G32+E18</f>
        <v>519494.07239999995</v>
      </c>
      <c r="F39" s="151"/>
      <c r="G39" s="150">
        <f>G31+G18</f>
        <v>152510</v>
      </c>
      <c r="H39" s="152"/>
      <c r="I39" s="53"/>
      <c r="J39" s="53"/>
      <c r="K39" s="55"/>
      <c r="L39" s="55"/>
    </row>
    <row r="40" spans="2:14" ht="29.25" customHeight="1" thickBot="1" x14ac:dyDescent="0.3">
      <c r="B40" s="13" t="s">
        <v>150</v>
      </c>
      <c r="C40" s="156">
        <f>E40+G40</f>
        <v>-41838.182399999991</v>
      </c>
      <c r="D40" s="157"/>
      <c r="E40" s="154">
        <f>E38-E39</f>
        <v>-77253.412399999972</v>
      </c>
      <c r="F40" s="155"/>
      <c r="G40" s="154">
        <f>G38-G39</f>
        <v>35415.229999999981</v>
      </c>
      <c r="H40" s="158"/>
      <c r="I40" s="53"/>
      <c r="J40" s="53"/>
      <c r="K40" s="55"/>
      <c r="L40" s="55"/>
    </row>
    <row r="41" spans="2:14" ht="34.5" customHeight="1" x14ac:dyDescent="0.25">
      <c r="B41" s="128" t="s">
        <v>88</v>
      </c>
      <c r="C41" s="149" t="s">
        <v>155</v>
      </c>
      <c r="D41" s="149"/>
      <c r="E41" s="149"/>
      <c r="F41" s="153" t="s">
        <v>14</v>
      </c>
      <c r="G41" s="153"/>
      <c r="H41" s="128"/>
      <c r="I41" s="128"/>
      <c r="J41" s="128"/>
      <c r="K41" s="2"/>
      <c r="L41" s="2"/>
      <c r="M41" s="199"/>
      <c r="N41" s="199"/>
    </row>
    <row r="42" spans="2:14" ht="11.25" customHeight="1" x14ac:dyDescent="0.25">
      <c r="B42" s="128"/>
      <c r="C42" s="128"/>
      <c r="D42" s="128"/>
      <c r="E42" s="127"/>
      <c r="F42" s="160"/>
      <c r="G42" s="160"/>
      <c r="H42" s="129"/>
      <c r="I42" s="129"/>
      <c r="J42" s="129"/>
      <c r="K42" s="2"/>
      <c r="L42" s="2"/>
      <c r="M42" s="199"/>
      <c r="N42" s="199"/>
    </row>
    <row r="43" spans="2:14" x14ac:dyDescent="0.25">
      <c r="B43" s="128" t="s">
        <v>89</v>
      </c>
      <c r="C43" s="149" t="s">
        <v>155</v>
      </c>
      <c r="D43" s="149"/>
      <c r="E43" s="149"/>
      <c r="F43" s="153" t="s">
        <v>100</v>
      </c>
      <c r="G43" s="153"/>
      <c r="H43" s="128"/>
      <c r="I43" s="128"/>
      <c r="J43" s="128"/>
      <c r="K43" s="2"/>
      <c r="L43" s="2"/>
      <c r="M43" s="199"/>
      <c r="N43" s="199"/>
    </row>
    <row r="44" spans="2:14" ht="9.75" customHeight="1" x14ac:dyDescent="0.25">
      <c r="B44" s="128"/>
      <c r="C44" s="128"/>
      <c r="D44" s="128"/>
      <c r="E44" s="127"/>
      <c r="F44" s="153"/>
      <c r="G44" s="153"/>
      <c r="H44" s="128"/>
      <c r="I44" s="128"/>
      <c r="J44" s="128"/>
    </row>
    <row r="45" spans="2:14" x14ac:dyDescent="0.25">
      <c r="B45" s="128" t="s">
        <v>90</v>
      </c>
      <c r="C45" s="149" t="s">
        <v>155</v>
      </c>
      <c r="D45" s="149"/>
      <c r="E45" s="149"/>
      <c r="F45" s="153" t="s">
        <v>114</v>
      </c>
      <c r="G45" s="153"/>
      <c r="H45" s="128"/>
      <c r="I45" s="128"/>
      <c r="J45" s="128"/>
    </row>
    <row r="46" spans="2:14" ht="8.25" customHeight="1" x14ac:dyDescent="0.25">
      <c r="B46" s="56"/>
      <c r="C46" s="56"/>
      <c r="D46" s="56"/>
      <c r="E46" s="127"/>
      <c r="F46" s="57"/>
      <c r="G46" s="58"/>
      <c r="H46" s="59"/>
      <c r="I46" s="59"/>
      <c r="J46" s="59"/>
    </row>
    <row r="47" spans="2:14" x14ac:dyDescent="0.25">
      <c r="B47" s="128" t="s">
        <v>91</v>
      </c>
      <c r="C47" s="149" t="s">
        <v>155</v>
      </c>
      <c r="D47" s="149"/>
      <c r="E47" s="149"/>
      <c r="F47" s="153" t="s">
        <v>114</v>
      </c>
      <c r="G47" s="153"/>
    </row>
    <row r="48" spans="2:14" ht="9" customHeight="1" x14ac:dyDescent="0.25">
      <c r="B48" s="60"/>
      <c r="C48" s="60"/>
      <c r="D48" s="60"/>
      <c r="E48" s="127"/>
      <c r="F48" s="159"/>
      <c r="G48" s="159"/>
    </row>
    <row r="49" spans="5:5" x14ac:dyDescent="0.25">
      <c r="E49" s="131"/>
    </row>
  </sheetData>
  <mergeCells count="55">
    <mergeCell ref="C15:D15"/>
    <mergeCell ref="C16:D16"/>
    <mergeCell ref="E19:F19"/>
    <mergeCell ref="G19:H19"/>
    <mergeCell ref="E17:F17"/>
    <mergeCell ref="G17:H17"/>
    <mergeCell ref="E18:F18"/>
    <mergeCell ref="E15:F15"/>
    <mergeCell ref="G16:H16"/>
    <mergeCell ref="B1:H1"/>
    <mergeCell ref="B2:H3"/>
    <mergeCell ref="B21:H21"/>
    <mergeCell ref="B22:B23"/>
    <mergeCell ref="C22:C23"/>
    <mergeCell ref="D22:D23"/>
    <mergeCell ref="E22:E23"/>
    <mergeCell ref="F22:G22"/>
    <mergeCell ref="H22:H23"/>
    <mergeCell ref="D5:E5"/>
    <mergeCell ref="G18:H18"/>
    <mergeCell ref="C17:D17"/>
    <mergeCell ref="C18:D18"/>
    <mergeCell ref="C19:D19"/>
    <mergeCell ref="B14:H14"/>
    <mergeCell ref="G15:H15"/>
    <mergeCell ref="F48:G48"/>
    <mergeCell ref="F44:G44"/>
    <mergeCell ref="F45:G45"/>
    <mergeCell ref="F41:G41"/>
    <mergeCell ref="F42:G42"/>
    <mergeCell ref="F43:G43"/>
    <mergeCell ref="C45:E45"/>
    <mergeCell ref="C47:E47"/>
    <mergeCell ref="F47:G47"/>
    <mergeCell ref="E40:F40"/>
    <mergeCell ref="C40:D40"/>
    <mergeCell ref="G40:H40"/>
    <mergeCell ref="C39:D39"/>
    <mergeCell ref="C41:E41"/>
    <mergeCell ref="C43:E43"/>
    <mergeCell ref="E16:F16"/>
    <mergeCell ref="M21:M22"/>
    <mergeCell ref="E38:F38"/>
    <mergeCell ref="E39:F39"/>
    <mergeCell ref="G39:H39"/>
    <mergeCell ref="N21:N22"/>
    <mergeCell ref="C36:D36"/>
    <mergeCell ref="C37:D37"/>
    <mergeCell ref="C38:D38"/>
    <mergeCell ref="E37:F37"/>
    <mergeCell ref="B35:H35"/>
    <mergeCell ref="E36:F36"/>
    <mergeCell ref="G36:H36"/>
    <mergeCell ref="G37:H37"/>
    <mergeCell ref="G38:H38"/>
  </mergeCells>
  <printOptions horizontalCentered="1"/>
  <pageMargins left="0.19685039370078741" right="0.19685039370078741" top="0.15748031496062992" bottom="0.23622047244094491" header="0.15748031496062992" footer="0.23622047244094491"/>
  <pageSetup paperSize="9" scale="50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50"/>
  <sheetViews>
    <sheetView topLeftCell="B10" zoomScale="110" zoomScaleNormal="110" workbookViewId="0">
      <selection activeCell="M10" sqref="M1:N1048576"/>
    </sheetView>
  </sheetViews>
  <sheetFormatPr defaultColWidth="9.140625" defaultRowHeight="15.75" outlineLevelRow="1" x14ac:dyDescent="0.25"/>
  <cols>
    <col min="1" max="1" width="2.85546875" style="3" customWidth="1"/>
    <col min="2" max="2" width="55.7109375" style="3" customWidth="1"/>
    <col min="3" max="3" width="23" style="61" customWidth="1"/>
    <col min="4" max="4" width="9.5703125" style="136" customWidth="1"/>
    <col min="5" max="5" width="10.28515625" style="136" customWidth="1"/>
    <col min="6" max="6" width="9.5703125" style="3" customWidth="1"/>
    <col min="7" max="7" width="10.42578125" style="3" customWidth="1"/>
    <col min="8" max="8" width="10.5703125" style="3" customWidth="1"/>
    <col min="9" max="9" width="10" style="3" bestFit="1" customWidth="1"/>
    <col min="10" max="12" width="9.140625" style="3"/>
    <col min="13" max="13" width="13.7109375" style="194" customWidth="1"/>
    <col min="14" max="14" width="14.7109375" style="194" customWidth="1"/>
    <col min="15" max="16384" width="9.140625" style="3"/>
  </cols>
  <sheetData>
    <row r="1" spans="1:8" ht="19.5" customHeight="1" x14ac:dyDescent="0.3">
      <c r="A1" s="14"/>
      <c r="B1" s="161" t="s">
        <v>116</v>
      </c>
      <c r="C1" s="161"/>
      <c r="D1" s="161"/>
      <c r="E1" s="161"/>
      <c r="F1" s="161"/>
      <c r="G1" s="161"/>
      <c r="H1" s="161"/>
    </row>
    <row r="2" spans="1:8" ht="20.25" customHeight="1" x14ac:dyDescent="0.3">
      <c r="A2" s="14"/>
      <c r="B2" s="185" t="s">
        <v>162</v>
      </c>
      <c r="C2" s="185"/>
      <c r="D2" s="185"/>
      <c r="E2" s="185"/>
      <c r="F2" s="185"/>
      <c r="G2" s="185"/>
      <c r="H2" s="185"/>
    </row>
    <row r="3" spans="1:8" ht="20.25" customHeight="1" x14ac:dyDescent="0.3">
      <c r="A3" s="68"/>
      <c r="B3" s="185"/>
      <c r="C3" s="185"/>
      <c r="D3" s="185"/>
      <c r="E3" s="185"/>
      <c r="F3" s="185"/>
      <c r="G3" s="185"/>
      <c r="H3" s="185"/>
    </row>
    <row r="4" spans="1:8" ht="9" customHeight="1" x14ac:dyDescent="0.25"/>
    <row r="5" spans="1:8" x14ac:dyDescent="0.25">
      <c r="B5" s="3" t="s">
        <v>0</v>
      </c>
      <c r="D5" s="172" t="s">
        <v>39</v>
      </c>
      <c r="E5" s="172"/>
    </row>
    <row r="6" spans="1:8" x14ac:dyDescent="0.25">
      <c r="B6" s="3" t="s">
        <v>1</v>
      </c>
      <c r="D6" s="126">
        <v>1958</v>
      </c>
      <c r="E6" s="126"/>
    </row>
    <row r="7" spans="1:8" hidden="1" outlineLevel="1" x14ac:dyDescent="0.25">
      <c r="B7" s="3" t="s">
        <v>2</v>
      </c>
      <c r="D7" s="126">
        <v>2</v>
      </c>
      <c r="E7" s="126"/>
    </row>
    <row r="8" spans="1:8" hidden="1" outlineLevel="1" x14ac:dyDescent="0.25">
      <c r="B8" s="3" t="s">
        <v>3</v>
      </c>
      <c r="D8" s="126">
        <v>14</v>
      </c>
      <c r="E8" s="126"/>
    </row>
    <row r="9" spans="1:8" ht="30.75" hidden="1" customHeight="1" outlineLevel="1" x14ac:dyDescent="0.25">
      <c r="B9" s="17" t="s">
        <v>4</v>
      </c>
      <c r="C9" s="62"/>
      <c r="D9" s="126" t="s">
        <v>40</v>
      </c>
      <c r="E9" s="126"/>
    </row>
    <row r="10" spans="1:8" collapsed="1" x14ac:dyDescent="0.25">
      <c r="B10" s="3" t="s">
        <v>5</v>
      </c>
      <c r="D10" s="126" t="s">
        <v>132</v>
      </c>
      <c r="E10" s="126"/>
      <c r="H10" s="12"/>
    </row>
    <row r="11" spans="1:8" hidden="1" outlineLevel="1" x14ac:dyDescent="0.25">
      <c r="B11" s="3" t="s">
        <v>6</v>
      </c>
      <c r="D11" s="126" t="s">
        <v>7</v>
      </c>
      <c r="E11" s="126"/>
    </row>
    <row r="12" spans="1:8" ht="30.75" hidden="1" customHeight="1" outlineLevel="1" x14ac:dyDescent="0.25">
      <c r="B12" s="17" t="s">
        <v>8</v>
      </c>
      <c r="C12" s="62"/>
      <c r="D12" s="138" t="s">
        <v>41</v>
      </c>
      <c r="E12" s="126"/>
      <c r="H12" s="12"/>
    </row>
    <row r="13" spans="1:8" collapsed="1" x14ac:dyDescent="0.25">
      <c r="B13" s="17"/>
      <c r="C13" s="62"/>
      <c r="D13" s="138"/>
      <c r="E13" s="126"/>
      <c r="H13" s="12"/>
    </row>
    <row r="14" spans="1:8" ht="16.5" thickBot="1" x14ac:dyDescent="0.3">
      <c r="B14" s="188" t="s">
        <v>157</v>
      </c>
      <c r="C14" s="188"/>
      <c r="D14" s="188"/>
      <c r="E14" s="188"/>
      <c r="F14" s="188"/>
      <c r="G14" s="188"/>
      <c r="H14" s="188"/>
    </row>
    <row r="15" spans="1:8" ht="44.25" customHeight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</row>
    <row r="16" spans="1:8" x14ac:dyDescent="0.25">
      <c r="B16" s="111" t="s">
        <v>12</v>
      </c>
      <c r="C16" s="139">
        <v>603984.39999999991</v>
      </c>
      <c r="D16" s="175"/>
      <c r="E16" s="143">
        <v>427643.35</v>
      </c>
      <c r="F16" s="144"/>
      <c r="G16" s="143">
        <v>176341.05</v>
      </c>
      <c r="H16" s="145"/>
    </row>
    <row r="17" spans="2:14" x14ac:dyDescent="0.25">
      <c r="B17" s="52" t="s">
        <v>13</v>
      </c>
      <c r="C17" s="141">
        <v>550479.62</v>
      </c>
      <c r="D17" s="142"/>
      <c r="E17" s="141">
        <v>389842.02</v>
      </c>
      <c r="F17" s="142"/>
      <c r="G17" s="141">
        <v>160637.59999999998</v>
      </c>
      <c r="H17" s="146"/>
    </row>
    <row r="18" spans="2:14" x14ac:dyDescent="0.25">
      <c r="B18" s="54" t="s">
        <v>87</v>
      </c>
      <c r="C18" s="141">
        <v>593689.33279999997</v>
      </c>
      <c r="D18" s="142"/>
      <c r="E18" s="150">
        <v>439832.33279999997</v>
      </c>
      <c r="F18" s="151"/>
      <c r="G18" s="150">
        <v>153857</v>
      </c>
      <c r="H18" s="152"/>
    </row>
    <row r="19" spans="2:14" ht="16.5" thickBot="1" x14ac:dyDescent="0.3">
      <c r="B19" s="64" t="s">
        <v>148</v>
      </c>
      <c r="C19" s="147">
        <v>7200</v>
      </c>
      <c r="D19" s="148"/>
      <c r="E19" s="147">
        <v>7200</v>
      </c>
      <c r="F19" s="148"/>
      <c r="G19" s="147">
        <v>0</v>
      </c>
      <c r="H19" s="176"/>
    </row>
    <row r="20" spans="2:14" ht="28.5" customHeight="1" thickBot="1" x14ac:dyDescent="0.3">
      <c r="B20" s="13" t="s">
        <v>149</v>
      </c>
      <c r="C20" s="156">
        <f>E20+G20</f>
        <v>-36009.712799999979</v>
      </c>
      <c r="D20" s="157"/>
      <c r="E20" s="154">
        <f>E17+E19-E18</f>
        <v>-42790.312799999956</v>
      </c>
      <c r="F20" s="155"/>
      <c r="G20" s="154">
        <f>G17-G18</f>
        <v>6780.5999999999767</v>
      </c>
      <c r="H20" s="158"/>
    </row>
    <row r="21" spans="2:14" ht="12.75" customHeight="1" x14ac:dyDescent="0.25">
      <c r="B21" s="17"/>
      <c r="C21" s="62"/>
      <c r="D21" s="138"/>
      <c r="E21" s="126"/>
      <c r="H21" s="12"/>
    </row>
    <row r="22" spans="2:14" ht="21.75" customHeight="1" thickBot="1" x14ac:dyDescent="0.3">
      <c r="B22" s="193" t="s">
        <v>163</v>
      </c>
      <c r="C22" s="193"/>
      <c r="D22" s="193"/>
      <c r="E22" s="193"/>
      <c r="F22" s="193"/>
      <c r="G22" s="193"/>
      <c r="H22" s="193"/>
      <c r="I22" s="19"/>
      <c r="J22" s="19"/>
      <c r="L22" s="12"/>
      <c r="M22" s="195" t="s">
        <v>151</v>
      </c>
      <c r="N22" s="195" t="s">
        <v>152</v>
      </c>
    </row>
    <row r="23" spans="2:14" ht="27.75" customHeight="1" x14ac:dyDescent="0.25">
      <c r="B23" s="162" t="s">
        <v>101</v>
      </c>
      <c r="C23" s="164" t="s">
        <v>102</v>
      </c>
      <c r="D23" s="164" t="s">
        <v>103</v>
      </c>
      <c r="E23" s="166" t="s">
        <v>167</v>
      </c>
      <c r="F23" s="168" t="s">
        <v>104</v>
      </c>
      <c r="G23" s="169"/>
      <c r="H23" s="170" t="s">
        <v>123</v>
      </c>
      <c r="I23" s="20"/>
      <c r="J23" s="20"/>
      <c r="L23" s="12"/>
      <c r="M23" s="196"/>
      <c r="N23" s="196"/>
    </row>
    <row r="24" spans="2:14" ht="45" customHeight="1" thickBot="1" x14ac:dyDescent="0.3">
      <c r="B24" s="163"/>
      <c r="C24" s="165"/>
      <c r="D24" s="165"/>
      <c r="E24" s="167"/>
      <c r="F24" s="21" t="s">
        <v>92</v>
      </c>
      <c r="G24" s="22" t="s">
        <v>93</v>
      </c>
      <c r="H24" s="171"/>
      <c r="I24" s="20"/>
      <c r="J24" s="20"/>
      <c r="M24" s="197">
        <v>70670.460000000006</v>
      </c>
      <c r="N24" s="197">
        <f>70670.46*1.01</f>
        <v>71377.164600000004</v>
      </c>
    </row>
    <row r="25" spans="2:14" ht="50.25" customHeight="1" x14ac:dyDescent="0.25">
      <c r="B25" s="23" t="s">
        <v>105</v>
      </c>
      <c r="C25" s="7" t="s">
        <v>121</v>
      </c>
      <c r="D25" s="24" t="s">
        <v>107</v>
      </c>
      <c r="E25" s="25">
        <v>1.06</v>
      </c>
      <c r="F25" s="26">
        <f>$M$24/$M$25*E25</f>
        <v>7612.8747560975626</v>
      </c>
      <c r="G25" s="27">
        <f>$N$24/$N$25*E25</f>
        <v>7689.0035036585377</v>
      </c>
      <c r="H25" s="28">
        <f>F25-G25</f>
        <v>-76.128747560975171</v>
      </c>
      <c r="I25" s="29"/>
      <c r="J25" s="29"/>
      <c r="K25" s="134"/>
      <c r="L25" s="31"/>
      <c r="M25" s="198">
        <f>E34-E32</f>
        <v>9.84</v>
      </c>
      <c r="N25" s="198">
        <f>E34-E32</f>
        <v>9.84</v>
      </c>
    </row>
    <row r="26" spans="2:14" ht="51" x14ac:dyDescent="0.25">
      <c r="B26" s="32" t="s">
        <v>99</v>
      </c>
      <c r="C26" s="7" t="s">
        <v>121</v>
      </c>
      <c r="D26" s="24" t="s">
        <v>107</v>
      </c>
      <c r="E26" s="8">
        <v>1.19</v>
      </c>
      <c r="F26" s="26">
        <f>$M$24/$M$25*E26</f>
        <v>8546.5292073170749</v>
      </c>
      <c r="G26" s="27">
        <f>$N$24/$N$25*E26</f>
        <v>8631.9944993902445</v>
      </c>
      <c r="H26" s="28">
        <f t="shared" ref="H26:H31" si="0">F26-G26</f>
        <v>-85.465292073169621</v>
      </c>
      <c r="I26" s="29"/>
      <c r="J26" s="29"/>
      <c r="K26" s="2"/>
      <c r="L26" s="2"/>
      <c r="M26" s="199"/>
      <c r="N26" s="199"/>
    </row>
    <row r="27" spans="2:14" ht="52.5" customHeight="1" x14ac:dyDescent="0.25">
      <c r="B27" s="33" t="s">
        <v>94</v>
      </c>
      <c r="C27" s="7" t="s">
        <v>121</v>
      </c>
      <c r="D27" s="24" t="s">
        <v>107</v>
      </c>
      <c r="E27" s="8">
        <v>0.32</v>
      </c>
      <c r="F27" s="26">
        <f t="shared" ref="F27:F33" si="1">$M$24/$M$25*E27</f>
        <v>2298.2263414634149</v>
      </c>
      <c r="G27" s="27">
        <f t="shared" ref="G27:G30" si="2">$N$24/$N$25*E27</f>
        <v>2321.2086048780488</v>
      </c>
      <c r="H27" s="28">
        <f t="shared" si="0"/>
        <v>-22.982263414633962</v>
      </c>
      <c r="I27" s="29"/>
      <c r="J27" s="29"/>
      <c r="L27" s="12"/>
    </row>
    <row r="28" spans="2:14" ht="25.5" x14ac:dyDescent="0.25">
      <c r="B28" s="33" t="s">
        <v>108</v>
      </c>
      <c r="C28" s="34" t="s">
        <v>109</v>
      </c>
      <c r="D28" s="24" t="s">
        <v>107</v>
      </c>
      <c r="E28" s="8">
        <v>0</v>
      </c>
      <c r="F28" s="26">
        <f t="shared" si="1"/>
        <v>0</v>
      </c>
      <c r="G28" s="27">
        <f t="shared" si="2"/>
        <v>0</v>
      </c>
      <c r="H28" s="28">
        <f t="shared" si="0"/>
        <v>0</v>
      </c>
      <c r="I28" s="29"/>
      <c r="J28" s="29"/>
      <c r="L28" s="12"/>
    </row>
    <row r="29" spans="2:14" ht="51" x14ac:dyDescent="0.25">
      <c r="B29" s="32" t="s">
        <v>95</v>
      </c>
      <c r="C29" s="7" t="s">
        <v>122</v>
      </c>
      <c r="D29" s="24" t="s">
        <v>107</v>
      </c>
      <c r="E29" s="8">
        <v>1.18</v>
      </c>
      <c r="F29" s="26">
        <f t="shared" si="1"/>
        <v>8474.7096341463421</v>
      </c>
      <c r="G29" s="27">
        <f t="shared" si="2"/>
        <v>8559.4567304878055</v>
      </c>
      <c r="H29" s="28">
        <f t="shared" si="0"/>
        <v>-84.747096341463475</v>
      </c>
      <c r="I29" s="29"/>
      <c r="J29" s="29"/>
    </row>
    <row r="30" spans="2:14" ht="228.75" customHeight="1" x14ac:dyDescent="0.25">
      <c r="B30" s="32" t="s">
        <v>120</v>
      </c>
      <c r="C30" s="35" t="s">
        <v>110</v>
      </c>
      <c r="D30" s="24" t="s">
        <v>107</v>
      </c>
      <c r="E30" s="8">
        <v>5.61</v>
      </c>
      <c r="F30" s="26">
        <f t="shared" si="1"/>
        <v>40290.780548780494</v>
      </c>
      <c r="G30" s="27">
        <f t="shared" si="2"/>
        <v>40693.688354268299</v>
      </c>
      <c r="H30" s="28">
        <f t="shared" si="0"/>
        <v>-402.90780548780458</v>
      </c>
      <c r="I30" s="29"/>
      <c r="J30" s="29"/>
      <c r="K30" s="2"/>
      <c r="L30" s="1"/>
      <c r="M30" s="199"/>
      <c r="N30" s="199"/>
    </row>
    <row r="31" spans="2:14" ht="108.75" customHeight="1" x14ac:dyDescent="0.25">
      <c r="B31" s="32" t="s">
        <v>111</v>
      </c>
      <c r="C31" s="7" t="s">
        <v>121</v>
      </c>
      <c r="D31" s="24" t="s">
        <v>107</v>
      </c>
      <c r="E31" s="8">
        <v>0.19</v>
      </c>
      <c r="F31" s="26">
        <f t="shared" si="1"/>
        <v>1364.5718902439028</v>
      </c>
      <c r="G31" s="27">
        <f t="shared" ref="G31" si="3">$N$24/$N$25*E31</f>
        <v>1378.2176091463416</v>
      </c>
      <c r="H31" s="28">
        <f t="shared" si="0"/>
        <v>-13.64571890243883</v>
      </c>
      <c r="I31" s="29"/>
      <c r="J31" s="29"/>
    </row>
    <row r="32" spans="2:14" ht="45" x14ac:dyDescent="0.25">
      <c r="B32" s="33" t="s">
        <v>112</v>
      </c>
      <c r="C32" s="7" t="s">
        <v>121</v>
      </c>
      <c r="D32" s="24" t="s">
        <v>107</v>
      </c>
      <c r="E32" s="8">
        <v>4.5599999999999996</v>
      </c>
      <c r="F32" s="26">
        <v>33708.92</v>
      </c>
      <c r="G32" s="5">
        <v>0</v>
      </c>
      <c r="H32" s="28">
        <f>F32-G32</f>
        <v>33708.92</v>
      </c>
      <c r="I32" s="29"/>
      <c r="J32" s="29"/>
      <c r="L32" s="12"/>
    </row>
    <row r="33" spans="2:14" ht="16.5" thickBot="1" x14ac:dyDescent="0.3">
      <c r="B33" s="36" t="s">
        <v>97</v>
      </c>
      <c r="C33" s="37" t="s">
        <v>110</v>
      </c>
      <c r="D33" s="38" t="s">
        <v>107</v>
      </c>
      <c r="E33" s="39">
        <f>1.07-0.78</f>
        <v>0.29000000000000004</v>
      </c>
      <c r="F33" s="26">
        <f t="shared" si="1"/>
        <v>2082.76762195122</v>
      </c>
      <c r="G33" s="27">
        <f t="shared" ref="G33" si="4">$N$24/$N$25*E33</f>
        <v>2103.5952981707319</v>
      </c>
      <c r="H33" s="40">
        <f>F33-G33</f>
        <v>-20.827676219511886</v>
      </c>
      <c r="I33" s="29"/>
      <c r="J33" s="29"/>
    </row>
    <row r="34" spans="2:14" ht="16.5" thickBot="1" x14ac:dyDescent="0.3">
      <c r="B34" s="41" t="s">
        <v>98</v>
      </c>
      <c r="C34" s="42"/>
      <c r="D34" s="42"/>
      <c r="E34" s="43">
        <f>SUM(E25:E33)</f>
        <v>14.399999999999999</v>
      </c>
      <c r="F34" s="44">
        <f>SUM(F25:F33)</f>
        <v>104379.38</v>
      </c>
      <c r="G34" s="45">
        <f>SUM(G25:G33)</f>
        <v>71377.164600000018</v>
      </c>
      <c r="H34" s="46">
        <f>SUM(H25:H33)</f>
        <v>33002.215400000001</v>
      </c>
      <c r="I34" s="47"/>
      <c r="J34" s="47"/>
    </row>
    <row r="35" spans="2:14" x14ac:dyDescent="0.25">
      <c r="B35" s="12"/>
      <c r="C35" s="12"/>
      <c r="D35" s="12"/>
      <c r="E35" s="135"/>
      <c r="F35" s="135"/>
      <c r="G35" s="135"/>
      <c r="H35" s="136"/>
      <c r="I35" s="136"/>
      <c r="J35" s="136"/>
    </row>
    <row r="36" spans="2:14" ht="16.5" customHeight="1" thickBot="1" x14ac:dyDescent="0.3">
      <c r="B36" s="188" t="s">
        <v>165</v>
      </c>
      <c r="C36" s="188"/>
      <c r="D36" s="188"/>
      <c r="E36" s="188"/>
      <c r="F36" s="188"/>
      <c r="G36" s="188"/>
      <c r="H36" s="188"/>
      <c r="I36" s="48"/>
      <c r="J36" s="48"/>
    </row>
    <row r="37" spans="2:14" ht="44.25" customHeight="1" thickBot="1" x14ac:dyDescent="0.3">
      <c r="B37" s="110" t="s">
        <v>166</v>
      </c>
      <c r="C37" s="186" t="s">
        <v>113</v>
      </c>
      <c r="D37" s="187"/>
      <c r="E37" s="181" t="s">
        <v>10</v>
      </c>
      <c r="F37" s="189"/>
      <c r="G37" s="181" t="s">
        <v>11</v>
      </c>
      <c r="H37" s="182"/>
      <c r="I37" s="49"/>
      <c r="J37" s="49"/>
      <c r="K37" s="50"/>
      <c r="L37" s="51"/>
      <c r="M37" s="200"/>
      <c r="N37" s="200"/>
    </row>
    <row r="38" spans="2:14" x14ac:dyDescent="0.25">
      <c r="B38" s="111" t="s">
        <v>12</v>
      </c>
      <c r="C38" s="139">
        <f>E38+G38</f>
        <v>708363.78</v>
      </c>
      <c r="D38" s="140"/>
      <c r="E38" s="143">
        <f>F25+F26+F27+F28+F29+F30+F31+F33+E16</f>
        <v>498313.81</v>
      </c>
      <c r="F38" s="144"/>
      <c r="G38" s="143">
        <f>F32+G16</f>
        <v>210049.96999999997</v>
      </c>
      <c r="H38" s="145"/>
      <c r="I38" s="53"/>
      <c r="J38" s="53"/>
      <c r="K38" s="9"/>
      <c r="L38" s="9"/>
      <c r="M38" s="201"/>
    </row>
    <row r="39" spans="2:14" x14ac:dyDescent="0.25">
      <c r="B39" s="52" t="s">
        <v>13</v>
      </c>
      <c r="C39" s="141">
        <f>E39+G39</f>
        <v>645985.94999999995</v>
      </c>
      <c r="D39" s="142"/>
      <c r="E39" s="141">
        <f>E17+64662.93</f>
        <v>454504.95</v>
      </c>
      <c r="F39" s="142"/>
      <c r="G39" s="141">
        <f>G17+30843.4</f>
        <v>191480.99999999997</v>
      </c>
      <c r="H39" s="146"/>
      <c r="I39" s="53"/>
      <c r="J39" s="53"/>
      <c r="K39" s="11"/>
      <c r="L39" s="9"/>
      <c r="M39" s="201"/>
    </row>
    <row r="40" spans="2:14" x14ac:dyDescent="0.25">
      <c r="B40" s="54" t="s">
        <v>87</v>
      </c>
      <c r="C40" s="141">
        <f>E40+G40</f>
        <v>665066.49739999999</v>
      </c>
      <c r="D40" s="142"/>
      <c r="E40" s="150">
        <f>G25+G26+G27+G28+G29+G30+G31+G33+E18</f>
        <v>511209.49739999999</v>
      </c>
      <c r="F40" s="151"/>
      <c r="G40" s="150">
        <f>G32+G18</f>
        <v>153857</v>
      </c>
      <c r="H40" s="152"/>
      <c r="I40" s="53"/>
      <c r="J40" s="53"/>
      <c r="K40" s="55"/>
      <c r="L40" s="55"/>
    </row>
    <row r="41" spans="2:14" ht="16.5" thickBot="1" x14ac:dyDescent="0.3">
      <c r="B41" s="64" t="s">
        <v>148</v>
      </c>
      <c r="C41" s="147">
        <f>E41+G41</f>
        <v>7500</v>
      </c>
      <c r="D41" s="148"/>
      <c r="E41" s="147">
        <f>E19+300</f>
        <v>7500</v>
      </c>
      <c r="F41" s="148"/>
      <c r="G41" s="147">
        <f>G19</f>
        <v>0</v>
      </c>
      <c r="H41" s="176"/>
      <c r="I41" s="53"/>
      <c r="J41" s="53"/>
      <c r="K41" s="55"/>
      <c r="L41" s="55"/>
    </row>
    <row r="42" spans="2:14" ht="33" customHeight="1" thickBot="1" x14ac:dyDescent="0.3">
      <c r="B42" s="13" t="s">
        <v>150</v>
      </c>
      <c r="C42" s="156">
        <f>E42+G42</f>
        <v>-11580.54740000001</v>
      </c>
      <c r="D42" s="157"/>
      <c r="E42" s="154">
        <f>E39+E41-E40</f>
        <v>-49204.547399999981</v>
      </c>
      <c r="F42" s="155"/>
      <c r="G42" s="154">
        <f>G39-G40</f>
        <v>37623.999999999971</v>
      </c>
      <c r="H42" s="158"/>
      <c r="I42" s="53"/>
      <c r="J42" s="53"/>
      <c r="K42" s="55"/>
      <c r="L42" s="55"/>
    </row>
    <row r="43" spans="2:14" ht="34.5" customHeight="1" x14ac:dyDescent="0.25">
      <c r="B43" s="128" t="s">
        <v>88</v>
      </c>
      <c r="C43" s="149" t="s">
        <v>155</v>
      </c>
      <c r="D43" s="149"/>
      <c r="E43" s="149"/>
      <c r="F43" s="153" t="s">
        <v>14</v>
      </c>
      <c r="G43" s="153"/>
      <c r="H43" s="128"/>
      <c r="I43" s="128"/>
      <c r="J43" s="128"/>
      <c r="K43" s="2"/>
      <c r="L43" s="2"/>
      <c r="M43" s="199"/>
      <c r="N43" s="199"/>
    </row>
    <row r="44" spans="2:14" ht="11.25" customHeight="1" x14ac:dyDescent="0.25">
      <c r="B44" s="128"/>
      <c r="C44" s="128"/>
      <c r="D44" s="128"/>
      <c r="E44" s="127"/>
      <c r="F44" s="160"/>
      <c r="G44" s="160"/>
      <c r="H44" s="129"/>
      <c r="I44" s="129"/>
      <c r="J44" s="129"/>
      <c r="K44" s="2"/>
      <c r="L44" s="2"/>
      <c r="M44" s="199"/>
      <c r="N44" s="199"/>
    </row>
    <row r="45" spans="2:14" x14ac:dyDescent="0.25">
      <c r="B45" s="128" t="s">
        <v>89</v>
      </c>
      <c r="C45" s="149" t="s">
        <v>155</v>
      </c>
      <c r="D45" s="149"/>
      <c r="E45" s="149"/>
      <c r="F45" s="153" t="s">
        <v>100</v>
      </c>
      <c r="G45" s="153"/>
      <c r="H45" s="128"/>
      <c r="I45" s="128"/>
      <c r="J45" s="128"/>
      <c r="K45" s="2"/>
      <c r="L45" s="2"/>
      <c r="M45" s="199"/>
      <c r="N45" s="199"/>
    </row>
    <row r="46" spans="2:14" ht="9.75" customHeight="1" x14ac:dyDescent="0.25">
      <c r="B46" s="128"/>
      <c r="C46" s="128"/>
      <c r="D46" s="128"/>
      <c r="E46" s="127"/>
      <c r="F46" s="153"/>
      <c r="G46" s="153"/>
      <c r="H46" s="128"/>
      <c r="I46" s="128"/>
      <c r="J46" s="128"/>
    </row>
    <row r="47" spans="2:14" x14ac:dyDescent="0.25">
      <c r="B47" s="128" t="s">
        <v>90</v>
      </c>
      <c r="C47" s="149" t="s">
        <v>155</v>
      </c>
      <c r="D47" s="149"/>
      <c r="E47" s="149"/>
      <c r="F47" s="153" t="s">
        <v>114</v>
      </c>
      <c r="G47" s="153"/>
      <c r="H47" s="128"/>
      <c r="I47" s="128"/>
      <c r="J47" s="128"/>
    </row>
    <row r="48" spans="2:14" ht="8.25" customHeight="1" x14ac:dyDescent="0.25">
      <c r="B48" s="56"/>
      <c r="C48" s="56"/>
      <c r="D48" s="56"/>
      <c r="E48" s="127"/>
      <c r="F48" s="57"/>
      <c r="G48" s="58"/>
      <c r="H48" s="59"/>
      <c r="I48" s="59"/>
      <c r="J48" s="59"/>
    </row>
    <row r="49" spans="2:7" x14ac:dyDescent="0.25">
      <c r="B49" s="128" t="s">
        <v>91</v>
      </c>
      <c r="C49" s="149" t="s">
        <v>155</v>
      </c>
      <c r="D49" s="149"/>
      <c r="E49" s="149"/>
      <c r="F49" s="153" t="s">
        <v>114</v>
      </c>
      <c r="G49" s="153"/>
    </row>
    <row r="50" spans="2:7" ht="9" customHeight="1" x14ac:dyDescent="0.25">
      <c r="B50" s="60"/>
      <c r="C50" s="60"/>
      <c r="D50" s="60"/>
      <c r="E50" s="127"/>
      <c r="F50" s="159"/>
      <c r="G50" s="159"/>
    </row>
  </sheetData>
  <mergeCells count="61">
    <mergeCell ref="D5:E5"/>
    <mergeCell ref="C17:D17"/>
    <mergeCell ref="B36:H36"/>
    <mergeCell ref="E37:F37"/>
    <mergeCell ref="G37:H37"/>
    <mergeCell ref="B23:B24"/>
    <mergeCell ref="C23:C24"/>
    <mergeCell ref="D23:D24"/>
    <mergeCell ref="E23:E24"/>
    <mergeCell ref="G19:H19"/>
    <mergeCell ref="C20:D20"/>
    <mergeCell ref="B22:H22"/>
    <mergeCell ref="E20:F20"/>
    <mergeCell ref="G20:H20"/>
    <mergeCell ref="B1:H1"/>
    <mergeCell ref="B2:H3"/>
    <mergeCell ref="C18:D18"/>
    <mergeCell ref="C19:D19"/>
    <mergeCell ref="B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C15:D15"/>
    <mergeCell ref="C16:D16"/>
    <mergeCell ref="F50:G50"/>
    <mergeCell ref="F45:G45"/>
    <mergeCell ref="F46:G46"/>
    <mergeCell ref="F47:G47"/>
    <mergeCell ref="C45:E45"/>
    <mergeCell ref="C47:E47"/>
    <mergeCell ref="C49:E49"/>
    <mergeCell ref="F49:G49"/>
    <mergeCell ref="F43:G43"/>
    <mergeCell ref="F44:G44"/>
    <mergeCell ref="E41:F41"/>
    <mergeCell ref="G41:H41"/>
    <mergeCell ref="C43:E43"/>
    <mergeCell ref="C40:D40"/>
    <mergeCell ref="C41:D41"/>
    <mergeCell ref="C42:D42"/>
    <mergeCell ref="G40:H40"/>
    <mergeCell ref="G42:H42"/>
    <mergeCell ref="E40:F40"/>
    <mergeCell ref="E42:F42"/>
    <mergeCell ref="M22:M23"/>
    <mergeCell ref="N22:N23"/>
    <mergeCell ref="C37:D37"/>
    <mergeCell ref="C38:D38"/>
    <mergeCell ref="C39:D39"/>
    <mergeCell ref="E38:F38"/>
    <mergeCell ref="G38:H38"/>
    <mergeCell ref="E39:F39"/>
    <mergeCell ref="G39:H39"/>
    <mergeCell ref="F23:G23"/>
    <mergeCell ref="H23:H24"/>
  </mergeCells>
  <printOptions horizontalCentered="1"/>
  <pageMargins left="0.19685039370078741" right="0.19685039370078741" top="0.15748031496062992" bottom="0.23622047244094491" header="0.16" footer="0.25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50"/>
  <sheetViews>
    <sheetView topLeftCell="A3" zoomScale="110" zoomScaleNormal="110" workbookViewId="0">
      <selection activeCell="B18" sqref="B18:B19"/>
    </sheetView>
  </sheetViews>
  <sheetFormatPr defaultColWidth="9.140625" defaultRowHeight="15.75" outlineLevelRow="1" x14ac:dyDescent="0.25"/>
  <cols>
    <col min="1" max="1" width="2.85546875" style="3" customWidth="1"/>
    <col min="2" max="2" width="55.7109375" style="3" customWidth="1"/>
    <col min="3" max="3" width="22" style="135" customWidth="1"/>
    <col min="4" max="4" width="8.42578125" style="136" customWidth="1"/>
    <col min="5" max="5" width="10.28515625" style="136" customWidth="1"/>
    <col min="6" max="6" width="9" style="3" customWidth="1"/>
    <col min="7" max="7" width="10.28515625" style="3" customWidth="1"/>
    <col min="8" max="8" width="10.85546875" style="3" customWidth="1"/>
    <col min="9" max="9" width="10.7109375" style="3" bestFit="1" customWidth="1"/>
    <col min="10" max="12" width="9.140625" style="3"/>
    <col min="13" max="13" width="14.5703125" style="194" customWidth="1"/>
    <col min="14" max="14" width="12.85546875" style="194" customWidth="1"/>
    <col min="15" max="16384" width="9.140625" style="3"/>
  </cols>
  <sheetData>
    <row r="1" spans="2:9" x14ac:dyDescent="0.25">
      <c r="B1" s="161" t="s">
        <v>116</v>
      </c>
      <c r="C1" s="161"/>
      <c r="D1" s="161"/>
      <c r="E1" s="161"/>
      <c r="F1" s="161"/>
      <c r="G1" s="161"/>
      <c r="H1" s="161"/>
    </row>
    <row r="2" spans="2:9" ht="19.5" customHeight="1" x14ac:dyDescent="0.25">
      <c r="B2" s="185" t="s">
        <v>162</v>
      </c>
      <c r="C2" s="185"/>
      <c r="D2" s="185"/>
      <c r="E2" s="185"/>
      <c r="F2" s="185"/>
      <c r="G2" s="185"/>
      <c r="H2" s="185"/>
    </row>
    <row r="3" spans="2:9" ht="15" customHeight="1" x14ac:dyDescent="0.25">
      <c r="B3" s="185"/>
      <c r="C3" s="185"/>
      <c r="D3" s="185"/>
      <c r="E3" s="185"/>
      <c r="F3" s="185"/>
      <c r="G3" s="185"/>
      <c r="H3" s="185"/>
    </row>
    <row r="4" spans="2:9" ht="16.5" customHeight="1" x14ac:dyDescent="0.25"/>
    <row r="5" spans="2:9" x14ac:dyDescent="0.25">
      <c r="B5" s="3" t="s">
        <v>0</v>
      </c>
      <c r="D5" s="172" t="s">
        <v>42</v>
      </c>
      <c r="E5" s="172"/>
    </row>
    <row r="6" spans="2:9" x14ac:dyDescent="0.25">
      <c r="B6" s="3" t="s">
        <v>1</v>
      </c>
      <c r="D6" s="126">
        <v>1959</v>
      </c>
      <c r="E6" s="126"/>
    </row>
    <row r="7" spans="2:9" ht="18.75" hidden="1" customHeight="1" outlineLevel="1" x14ac:dyDescent="0.25">
      <c r="B7" s="3" t="s">
        <v>2</v>
      </c>
      <c r="D7" s="126">
        <v>2</v>
      </c>
      <c r="E7" s="126"/>
    </row>
    <row r="8" spans="2:9" hidden="1" outlineLevel="1" x14ac:dyDescent="0.25">
      <c r="B8" s="3" t="s">
        <v>3</v>
      </c>
      <c r="D8" s="126">
        <v>16</v>
      </c>
      <c r="E8" s="126"/>
    </row>
    <row r="9" spans="2:9" ht="30.75" hidden="1" customHeight="1" outlineLevel="1" x14ac:dyDescent="0.25">
      <c r="B9" s="17" t="s">
        <v>4</v>
      </c>
      <c r="C9" s="18"/>
      <c r="D9" s="126" t="s">
        <v>43</v>
      </c>
      <c r="E9" s="126"/>
    </row>
    <row r="10" spans="2:9" collapsed="1" x14ac:dyDescent="0.25">
      <c r="B10" s="3" t="s">
        <v>5</v>
      </c>
      <c r="D10" s="126" t="s">
        <v>133</v>
      </c>
      <c r="E10" s="126"/>
      <c r="I10" s="12"/>
    </row>
    <row r="11" spans="2:9" ht="27" hidden="1" customHeight="1" outlineLevel="1" x14ac:dyDescent="0.25">
      <c r="B11" s="3" t="s">
        <v>6</v>
      </c>
      <c r="D11" s="126" t="s">
        <v>7</v>
      </c>
      <c r="E11" s="126"/>
    </row>
    <row r="12" spans="2:9" ht="30.75" hidden="1" customHeight="1" outlineLevel="1" x14ac:dyDescent="0.25">
      <c r="B12" s="17" t="s">
        <v>8</v>
      </c>
      <c r="C12" s="18"/>
      <c r="D12" s="138" t="s">
        <v>44</v>
      </c>
      <c r="E12" s="126"/>
      <c r="I12" s="12"/>
    </row>
    <row r="13" spans="2:9" ht="7.5" customHeight="1" collapsed="1" x14ac:dyDescent="0.25">
      <c r="B13" s="17"/>
      <c r="C13" s="18"/>
      <c r="D13" s="138"/>
      <c r="E13" s="126"/>
      <c r="I13" s="12"/>
    </row>
    <row r="14" spans="2:9" ht="16.5" thickBot="1" x14ac:dyDescent="0.3">
      <c r="B14" s="188" t="s">
        <v>157</v>
      </c>
      <c r="C14" s="188"/>
      <c r="D14" s="188"/>
      <c r="E14" s="188"/>
      <c r="F14" s="188"/>
      <c r="G14" s="188"/>
      <c r="H14" s="188"/>
      <c r="I14" s="12"/>
    </row>
    <row r="15" spans="2:9" ht="41.25" customHeight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  <c r="I15" s="12"/>
    </row>
    <row r="16" spans="2:9" x14ac:dyDescent="0.25">
      <c r="B16" s="111" t="s">
        <v>12</v>
      </c>
      <c r="C16" s="139">
        <v>457478.16000000003</v>
      </c>
      <c r="D16" s="175"/>
      <c r="E16" s="143">
        <v>359585.24</v>
      </c>
      <c r="F16" s="144"/>
      <c r="G16" s="143">
        <v>97892.920000000013</v>
      </c>
      <c r="H16" s="145"/>
      <c r="I16" s="12"/>
    </row>
    <row r="17" spans="2:14" x14ac:dyDescent="0.25">
      <c r="B17" s="52" t="s">
        <v>13</v>
      </c>
      <c r="C17" s="141">
        <v>384984.88999999996</v>
      </c>
      <c r="D17" s="142"/>
      <c r="E17" s="141">
        <v>302948.84999999998</v>
      </c>
      <c r="F17" s="142"/>
      <c r="G17" s="141">
        <v>82036.039999999994</v>
      </c>
      <c r="H17" s="146"/>
      <c r="I17" s="12"/>
    </row>
    <row r="18" spans="2:14" x14ac:dyDescent="0.25">
      <c r="B18" s="54" t="s">
        <v>87</v>
      </c>
      <c r="C18" s="141">
        <v>439990.91759999999</v>
      </c>
      <c r="D18" s="142"/>
      <c r="E18" s="150">
        <v>365520.91759999999</v>
      </c>
      <c r="F18" s="151"/>
      <c r="G18" s="150">
        <v>74470</v>
      </c>
      <c r="H18" s="152"/>
      <c r="I18" s="12"/>
    </row>
    <row r="19" spans="2:14" ht="16.5" thickBot="1" x14ac:dyDescent="0.3">
      <c r="B19" s="64" t="s">
        <v>148</v>
      </c>
      <c r="C19" s="147">
        <v>7200</v>
      </c>
      <c r="D19" s="148"/>
      <c r="E19" s="147">
        <v>7200</v>
      </c>
      <c r="F19" s="148"/>
      <c r="G19" s="147">
        <v>0</v>
      </c>
      <c r="H19" s="176"/>
      <c r="I19" s="12"/>
    </row>
    <row r="20" spans="2:14" ht="28.5" customHeight="1" thickBot="1" x14ac:dyDescent="0.3">
      <c r="B20" s="13" t="s">
        <v>149</v>
      </c>
      <c r="C20" s="156">
        <f>E20+G20</f>
        <v>-47806.027600000016</v>
      </c>
      <c r="D20" s="157"/>
      <c r="E20" s="154">
        <f>E17+E19-E18</f>
        <v>-55372.067600000009</v>
      </c>
      <c r="F20" s="155"/>
      <c r="G20" s="154">
        <f>G17-G18</f>
        <v>7566.0399999999936</v>
      </c>
      <c r="H20" s="158"/>
      <c r="I20" s="12"/>
    </row>
    <row r="21" spans="2:14" ht="11.25" customHeight="1" x14ac:dyDescent="0.25">
      <c r="B21" s="17"/>
      <c r="C21" s="18"/>
      <c r="D21" s="138"/>
      <c r="E21" s="126"/>
      <c r="I21" s="12"/>
    </row>
    <row r="22" spans="2:14" ht="19.5" customHeight="1" thickBot="1" x14ac:dyDescent="0.3">
      <c r="B22" s="193" t="s">
        <v>163</v>
      </c>
      <c r="C22" s="193"/>
      <c r="D22" s="193"/>
      <c r="E22" s="193"/>
      <c r="F22" s="193"/>
      <c r="G22" s="193"/>
      <c r="H22" s="193"/>
      <c r="I22" s="19"/>
      <c r="J22" s="19"/>
      <c r="L22" s="12"/>
      <c r="M22" s="195" t="s">
        <v>151</v>
      </c>
      <c r="N22" s="195" t="s">
        <v>152</v>
      </c>
    </row>
    <row r="23" spans="2:14" ht="27.75" customHeight="1" x14ac:dyDescent="0.25">
      <c r="B23" s="162" t="s">
        <v>101</v>
      </c>
      <c r="C23" s="164" t="s">
        <v>102</v>
      </c>
      <c r="D23" s="164" t="s">
        <v>103</v>
      </c>
      <c r="E23" s="166" t="s">
        <v>164</v>
      </c>
      <c r="F23" s="168" t="s">
        <v>104</v>
      </c>
      <c r="G23" s="169"/>
      <c r="H23" s="170" t="s">
        <v>123</v>
      </c>
      <c r="I23" s="20"/>
      <c r="J23" s="20"/>
      <c r="L23" s="12"/>
      <c r="M23" s="196"/>
      <c r="N23" s="196"/>
    </row>
    <row r="24" spans="2:14" ht="45" customHeight="1" thickBot="1" x14ac:dyDescent="0.3">
      <c r="B24" s="163"/>
      <c r="C24" s="165"/>
      <c r="D24" s="165"/>
      <c r="E24" s="167"/>
      <c r="F24" s="21" t="s">
        <v>92</v>
      </c>
      <c r="G24" s="22" t="s">
        <v>93</v>
      </c>
      <c r="H24" s="171"/>
      <c r="I24" s="20"/>
      <c r="J24" s="20"/>
      <c r="M24" s="197">
        <v>51310.25</v>
      </c>
      <c r="N24" s="197">
        <f>51310.25*1.01</f>
        <v>51823.352500000001</v>
      </c>
    </row>
    <row r="25" spans="2:14" ht="50.25" customHeight="1" x14ac:dyDescent="0.25">
      <c r="B25" s="23" t="s">
        <v>105</v>
      </c>
      <c r="C25" s="7" t="s">
        <v>121</v>
      </c>
      <c r="D25" s="24" t="s">
        <v>107</v>
      </c>
      <c r="E25" s="25">
        <v>1.06</v>
      </c>
      <c r="F25" s="26">
        <f>$M$24/$M$25*E25</f>
        <v>5184.8298379408971</v>
      </c>
      <c r="G25" s="27">
        <f>$N$24/$N$25*E25</f>
        <v>5236.6781363203063</v>
      </c>
      <c r="H25" s="28">
        <f>F25-G25</f>
        <v>-51.848298379409243</v>
      </c>
      <c r="I25" s="29"/>
      <c r="J25" s="29"/>
      <c r="K25" s="134"/>
      <c r="L25" s="31"/>
      <c r="M25" s="198">
        <f>E34-E32</f>
        <v>10.489999999999998</v>
      </c>
      <c r="N25" s="198">
        <f>E34-E32</f>
        <v>10.489999999999998</v>
      </c>
    </row>
    <row r="26" spans="2:14" ht="56.25" x14ac:dyDescent="0.25">
      <c r="B26" s="32" t="s">
        <v>99</v>
      </c>
      <c r="C26" s="7" t="s">
        <v>121</v>
      </c>
      <c r="D26" s="24" t="s">
        <v>107</v>
      </c>
      <c r="E26" s="8">
        <v>1.19</v>
      </c>
      <c r="F26" s="26">
        <f>$M$24/$M$25*E26</f>
        <v>5820.7051954242143</v>
      </c>
      <c r="G26" s="27">
        <f>$N$24/$N$25*E26</f>
        <v>5878.9122473784564</v>
      </c>
      <c r="H26" s="28">
        <f t="shared" ref="H26:H31" si="0">F26-G26</f>
        <v>-58.207051954242161</v>
      </c>
      <c r="I26" s="29"/>
      <c r="J26" s="29"/>
      <c r="K26" s="2"/>
      <c r="L26" s="2"/>
      <c r="M26" s="199"/>
      <c r="N26" s="199"/>
    </row>
    <row r="27" spans="2:14" ht="52.5" customHeight="1" x14ac:dyDescent="0.25">
      <c r="B27" s="33" t="s">
        <v>94</v>
      </c>
      <c r="C27" s="7" t="s">
        <v>121</v>
      </c>
      <c r="D27" s="24" t="s">
        <v>107</v>
      </c>
      <c r="E27" s="8">
        <v>0.32</v>
      </c>
      <c r="F27" s="26">
        <f t="shared" ref="F27:F33" si="1">$M$24/$M$25*E27</f>
        <v>1565.2316491897047</v>
      </c>
      <c r="G27" s="27">
        <f t="shared" ref="G27:G30" si="2">$N$24/$N$25*E27</f>
        <v>1580.8839656816019</v>
      </c>
      <c r="H27" s="28">
        <f t="shared" si="0"/>
        <v>-15.652316491897182</v>
      </c>
      <c r="I27" s="29"/>
      <c r="J27" s="29"/>
      <c r="L27" s="12"/>
    </row>
    <row r="28" spans="2:14" ht="25.5" x14ac:dyDescent="0.25">
      <c r="B28" s="33" t="s">
        <v>108</v>
      </c>
      <c r="C28" s="34" t="s">
        <v>109</v>
      </c>
      <c r="D28" s="24" t="s">
        <v>107</v>
      </c>
      <c r="E28" s="8">
        <v>0.5</v>
      </c>
      <c r="F28" s="26">
        <f>($M$24/12*2)/$M$25*E28</f>
        <v>407.61240864315232</v>
      </c>
      <c r="G28" s="27">
        <f>($N$24/12*2)/$N$25*E28</f>
        <v>411.68853272958376</v>
      </c>
      <c r="H28" s="28">
        <f t="shared" si="0"/>
        <v>-4.0761240864314345</v>
      </c>
      <c r="I28" s="29"/>
      <c r="J28" s="29"/>
      <c r="L28" s="12"/>
    </row>
    <row r="29" spans="2:14" ht="51" x14ac:dyDescent="0.25">
      <c r="B29" s="32" t="s">
        <v>95</v>
      </c>
      <c r="C29" s="7" t="s">
        <v>122</v>
      </c>
      <c r="D29" s="24" t="s">
        <v>107</v>
      </c>
      <c r="E29" s="8">
        <v>1.18</v>
      </c>
      <c r="F29" s="26">
        <f t="shared" si="1"/>
        <v>5771.7917063870354</v>
      </c>
      <c r="G29" s="27">
        <f t="shared" si="2"/>
        <v>5829.5096234509065</v>
      </c>
      <c r="H29" s="28">
        <f t="shared" si="0"/>
        <v>-57.717917063871027</v>
      </c>
      <c r="I29" s="29"/>
      <c r="J29" s="29"/>
    </row>
    <row r="30" spans="2:14" ht="228.75" customHeight="1" x14ac:dyDescent="0.25">
      <c r="B30" s="32" t="s">
        <v>120</v>
      </c>
      <c r="C30" s="35" t="s">
        <v>110</v>
      </c>
      <c r="D30" s="24" t="s">
        <v>107</v>
      </c>
      <c r="E30" s="8">
        <v>5.61</v>
      </c>
      <c r="F30" s="26">
        <f t="shared" si="1"/>
        <v>27440.467349857012</v>
      </c>
      <c r="G30" s="27">
        <f t="shared" si="2"/>
        <v>27714.872023355583</v>
      </c>
      <c r="H30" s="28">
        <f t="shared" si="0"/>
        <v>-274.40467349857136</v>
      </c>
      <c r="I30" s="29"/>
      <c r="J30" s="29"/>
      <c r="K30" s="2"/>
      <c r="L30" s="1"/>
      <c r="M30" s="199"/>
      <c r="N30" s="199"/>
    </row>
    <row r="31" spans="2:14" ht="108.75" customHeight="1" x14ac:dyDescent="0.25">
      <c r="B31" s="32" t="s">
        <v>111</v>
      </c>
      <c r="C31" s="7" t="s">
        <v>121</v>
      </c>
      <c r="D31" s="24" t="s">
        <v>107</v>
      </c>
      <c r="E31" s="8">
        <v>0.19</v>
      </c>
      <c r="F31" s="26">
        <f t="shared" si="1"/>
        <v>929.35629170638708</v>
      </c>
      <c r="G31" s="27">
        <f t="shared" ref="G31" si="3">$N$24/$N$25*E31</f>
        <v>938.64985462345112</v>
      </c>
      <c r="H31" s="28">
        <f t="shared" si="0"/>
        <v>-9.2935629170640368</v>
      </c>
      <c r="I31" s="29"/>
      <c r="J31" s="29"/>
    </row>
    <row r="32" spans="2:14" ht="56.25" x14ac:dyDescent="0.25">
      <c r="B32" s="33" t="s">
        <v>112</v>
      </c>
      <c r="C32" s="7" t="s">
        <v>121</v>
      </c>
      <c r="D32" s="24" t="s">
        <v>107</v>
      </c>
      <c r="E32" s="8">
        <v>3.74</v>
      </c>
      <c r="F32" s="26">
        <v>19742.830000000002</v>
      </c>
      <c r="G32" s="5">
        <v>20325</v>
      </c>
      <c r="H32" s="28">
        <f>F32-G32</f>
        <v>-582.16999999999825</v>
      </c>
      <c r="I32" s="29"/>
      <c r="J32" s="29"/>
      <c r="L32" s="12"/>
    </row>
    <row r="33" spans="2:14" ht="16.5" thickBot="1" x14ac:dyDescent="0.3">
      <c r="B33" s="36" t="s">
        <v>97</v>
      </c>
      <c r="C33" s="37" t="s">
        <v>110</v>
      </c>
      <c r="D33" s="38" t="s">
        <v>107</v>
      </c>
      <c r="E33" s="39">
        <f>1.23-0.79</f>
        <v>0.43999999999999995</v>
      </c>
      <c r="F33" s="26">
        <f t="shared" si="1"/>
        <v>2152.1935176358438</v>
      </c>
      <c r="G33" s="27">
        <f t="shared" ref="G33" si="4">$N$24/$N$25*E33</f>
        <v>2173.7154528122023</v>
      </c>
      <c r="H33" s="40">
        <f>F33-G33</f>
        <v>-21.521935176358511</v>
      </c>
      <c r="I33" s="29"/>
      <c r="J33" s="29"/>
    </row>
    <row r="34" spans="2:14" ht="16.5" thickBot="1" x14ac:dyDescent="0.3">
      <c r="B34" s="41" t="s">
        <v>98</v>
      </c>
      <c r="C34" s="42"/>
      <c r="D34" s="42"/>
      <c r="E34" s="43">
        <f>SUM(E25:E33)</f>
        <v>14.229999999999999</v>
      </c>
      <c r="F34" s="44">
        <f>SUM(F25:F33)</f>
        <v>69015.017956784257</v>
      </c>
      <c r="G34" s="45">
        <f>SUM(G25:G33)</f>
        <v>70089.90983635209</v>
      </c>
      <c r="H34" s="46">
        <f>SUM(H25:H33)</f>
        <v>-1074.8918795678433</v>
      </c>
      <c r="I34" s="47"/>
      <c r="J34" s="47"/>
    </row>
    <row r="35" spans="2:14" x14ac:dyDescent="0.25">
      <c r="B35" s="12"/>
      <c r="C35" s="12"/>
      <c r="D35" s="12"/>
      <c r="E35" s="135"/>
      <c r="F35" s="135"/>
      <c r="G35" s="135"/>
      <c r="H35" s="136"/>
      <c r="I35" s="136"/>
      <c r="J35" s="136"/>
    </row>
    <row r="36" spans="2:14" ht="16.5" customHeight="1" thickBot="1" x14ac:dyDescent="0.3">
      <c r="B36" s="188" t="s">
        <v>165</v>
      </c>
      <c r="C36" s="188"/>
      <c r="D36" s="188"/>
      <c r="E36" s="188"/>
      <c r="F36" s="188"/>
      <c r="G36" s="188"/>
      <c r="H36" s="188"/>
      <c r="I36" s="48"/>
      <c r="J36" s="48"/>
    </row>
    <row r="37" spans="2:14" ht="44.25" customHeight="1" thickBot="1" x14ac:dyDescent="0.3">
      <c r="B37" s="110" t="s">
        <v>166</v>
      </c>
      <c r="C37" s="186" t="s">
        <v>113</v>
      </c>
      <c r="D37" s="187"/>
      <c r="E37" s="181" t="s">
        <v>10</v>
      </c>
      <c r="F37" s="189"/>
      <c r="G37" s="181" t="s">
        <v>11</v>
      </c>
      <c r="H37" s="182"/>
      <c r="I37" s="49"/>
      <c r="J37" s="49"/>
      <c r="K37" s="50"/>
      <c r="L37" s="51"/>
      <c r="M37" s="200"/>
      <c r="N37" s="200"/>
    </row>
    <row r="38" spans="2:14" x14ac:dyDescent="0.25">
      <c r="B38" s="111" t="s">
        <v>12</v>
      </c>
      <c r="C38" s="139">
        <f>E38+G38</f>
        <v>526493.17795678426</v>
      </c>
      <c r="D38" s="140"/>
      <c r="E38" s="143">
        <f>F25+F26+F27+F28+F29+F30+F31+F33+E16</f>
        <v>408857.42795678426</v>
      </c>
      <c r="F38" s="144"/>
      <c r="G38" s="143">
        <f>F32+G16</f>
        <v>117635.75000000001</v>
      </c>
      <c r="H38" s="145"/>
      <c r="I38" s="53"/>
      <c r="J38" s="53"/>
      <c r="K38" s="9"/>
      <c r="L38" s="9"/>
      <c r="M38" s="201"/>
    </row>
    <row r="39" spans="2:14" x14ac:dyDescent="0.25">
      <c r="B39" s="52" t="s">
        <v>13</v>
      </c>
      <c r="C39" s="141">
        <f>E39+G39</f>
        <v>452852.52</v>
      </c>
      <c r="D39" s="142"/>
      <c r="E39" s="141">
        <f>E17+49009.91</f>
        <v>351958.76</v>
      </c>
      <c r="F39" s="142"/>
      <c r="G39" s="141">
        <f>G17+18857.72</f>
        <v>100893.75999999999</v>
      </c>
      <c r="H39" s="146"/>
      <c r="I39" s="53"/>
      <c r="J39" s="53"/>
      <c r="K39" s="11"/>
      <c r="L39" s="9"/>
      <c r="M39" s="201"/>
    </row>
    <row r="40" spans="2:14" x14ac:dyDescent="0.25">
      <c r="B40" s="54" t="s">
        <v>87</v>
      </c>
      <c r="C40" s="141">
        <f>E40+G40</f>
        <v>510080.82743635209</v>
      </c>
      <c r="D40" s="142"/>
      <c r="E40" s="150">
        <f>G25+G26+G27+G28+G29+G30+G31+G33+E18</f>
        <v>415285.82743635209</v>
      </c>
      <c r="F40" s="151"/>
      <c r="G40" s="150">
        <f>G32+G18</f>
        <v>94795</v>
      </c>
      <c r="H40" s="152"/>
      <c r="I40" s="53"/>
      <c r="J40" s="53"/>
      <c r="K40" s="55"/>
      <c r="L40" s="55"/>
    </row>
    <row r="41" spans="2:14" ht="16.5" thickBot="1" x14ac:dyDescent="0.3">
      <c r="B41" s="64" t="s">
        <v>148</v>
      </c>
      <c r="C41" s="147">
        <f>E41+G41</f>
        <v>7500</v>
      </c>
      <c r="D41" s="148"/>
      <c r="E41" s="147">
        <f>E19+300</f>
        <v>7500</v>
      </c>
      <c r="F41" s="148"/>
      <c r="G41" s="147">
        <f>G19</f>
        <v>0</v>
      </c>
      <c r="H41" s="176"/>
      <c r="I41" s="53"/>
      <c r="J41" s="53"/>
      <c r="K41" s="55"/>
      <c r="L41" s="55"/>
    </row>
    <row r="42" spans="2:14" ht="36.75" thickBot="1" x14ac:dyDescent="0.3">
      <c r="B42" s="13" t="s">
        <v>150</v>
      </c>
      <c r="C42" s="156">
        <f>E42+G42</f>
        <v>-49728.307436352086</v>
      </c>
      <c r="D42" s="157"/>
      <c r="E42" s="154">
        <f>E39+E41-E40</f>
        <v>-55827.067436352081</v>
      </c>
      <c r="F42" s="155"/>
      <c r="G42" s="154">
        <f>G39-G40</f>
        <v>6098.7599999999948</v>
      </c>
      <c r="H42" s="158"/>
      <c r="I42" s="53"/>
      <c r="J42" s="53"/>
      <c r="K42" s="55"/>
      <c r="L42" s="55"/>
    </row>
    <row r="43" spans="2:14" ht="34.5" customHeight="1" x14ac:dyDescent="0.25">
      <c r="B43" s="128" t="s">
        <v>88</v>
      </c>
      <c r="C43" s="149" t="s">
        <v>155</v>
      </c>
      <c r="D43" s="149"/>
      <c r="E43" s="149"/>
      <c r="F43" s="153" t="s">
        <v>14</v>
      </c>
      <c r="G43" s="153"/>
      <c r="H43" s="128"/>
      <c r="I43" s="128"/>
      <c r="J43" s="128"/>
      <c r="K43" s="2"/>
      <c r="L43" s="2"/>
      <c r="M43" s="199"/>
      <c r="N43" s="199"/>
    </row>
    <row r="44" spans="2:14" ht="11.25" customHeight="1" x14ac:dyDescent="0.25">
      <c r="B44" s="128"/>
      <c r="C44" s="128"/>
      <c r="D44" s="128"/>
      <c r="E44" s="127"/>
      <c r="F44" s="160"/>
      <c r="G44" s="160"/>
      <c r="H44" s="129"/>
      <c r="I44" s="129"/>
      <c r="J44" s="129"/>
      <c r="K44" s="2"/>
      <c r="L44" s="2"/>
      <c r="M44" s="199"/>
      <c r="N44" s="199"/>
    </row>
    <row r="45" spans="2:14" x14ac:dyDescent="0.25">
      <c r="B45" s="128" t="s">
        <v>89</v>
      </c>
      <c r="C45" s="149" t="s">
        <v>155</v>
      </c>
      <c r="D45" s="149"/>
      <c r="E45" s="149"/>
      <c r="F45" s="153" t="s">
        <v>100</v>
      </c>
      <c r="G45" s="153"/>
      <c r="H45" s="128"/>
      <c r="I45" s="128"/>
      <c r="J45" s="128"/>
      <c r="K45" s="2"/>
      <c r="L45" s="2"/>
      <c r="M45" s="199"/>
      <c r="N45" s="199"/>
    </row>
    <row r="46" spans="2:14" ht="9.75" customHeight="1" x14ac:dyDescent="0.25">
      <c r="B46" s="128"/>
      <c r="C46" s="128"/>
      <c r="D46" s="128"/>
      <c r="E46" s="127"/>
      <c r="F46" s="153"/>
      <c r="G46" s="153"/>
      <c r="H46" s="128"/>
      <c r="I46" s="128"/>
      <c r="J46" s="128"/>
    </row>
    <row r="47" spans="2:14" x14ac:dyDescent="0.25">
      <c r="B47" s="128" t="s">
        <v>90</v>
      </c>
      <c r="C47" s="149" t="s">
        <v>155</v>
      </c>
      <c r="D47" s="149"/>
      <c r="E47" s="149"/>
      <c r="F47" s="153" t="s">
        <v>114</v>
      </c>
      <c r="G47" s="153"/>
      <c r="H47" s="128"/>
      <c r="I47" s="128"/>
      <c r="J47" s="128"/>
    </row>
    <row r="48" spans="2:14" ht="8.25" customHeight="1" x14ac:dyDescent="0.25">
      <c r="B48" s="56"/>
      <c r="C48" s="56"/>
      <c r="D48" s="56"/>
      <c r="E48" s="127"/>
      <c r="F48" s="57"/>
      <c r="G48" s="58"/>
      <c r="H48" s="59"/>
      <c r="I48" s="59"/>
      <c r="J48" s="59"/>
    </row>
    <row r="49" spans="2:7" x14ac:dyDescent="0.25">
      <c r="B49" s="128" t="s">
        <v>91</v>
      </c>
      <c r="C49" s="149" t="s">
        <v>155</v>
      </c>
      <c r="D49" s="149"/>
      <c r="E49" s="149"/>
      <c r="F49" s="153" t="s">
        <v>114</v>
      </c>
      <c r="G49" s="153"/>
    </row>
    <row r="50" spans="2:7" ht="9" customHeight="1" x14ac:dyDescent="0.25">
      <c r="B50" s="60"/>
      <c r="C50" s="60"/>
      <c r="D50" s="60"/>
      <c r="E50" s="127"/>
      <c r="F50" s="159"/>
      <c r="G50" s="159"/>
    </row>
  </sheetData>
  <mergeCells count="61">
    <mergeCell ref="C45:E45"/>
    <mergeCell ref="C47:E47"/>
    <mergeCell ref="C49:E49"/>
    <mergeCell ref="B1:H1"/>
    <mergeCell ref="B2:H3"/>
    <mergeCell ref="B22:H22"/>
    <mergeCell ref="B23:B24"/>
    <mergeCell ref="C23:C24"/>
    <mergeCell ref="D23:D24"/>
    <mergeCell ref="E23:E24"/>
    <mergeCell ref="F23:G23"/>
    <mergeCell ref="H23:H24"/>
    <mergeCell ref="D5:E5"/>
    <mergeCell ref="B14:H14"/>
    <mergeCell ref="C15:D15"/>
    <mergeCell ref="E15:F15"/>
    <mergeCell ref="G15:H15"/>
    <mergeCell ref="C16:D16"/>
    <mergeCell ref="E16:F16"/>
    <mergeCell ref="E42:F42"/>
    <mergeCell ref="G42:H42"/>
    <mergeCell ref="G16:H16"/>
    <mergeCell ref="C17:D17"/>
    <mergeCell ref="E17:F17"/>
    <mergeCell ref="G17:H17"/>
    <mergeCell ref="C37:D37"/>
    <mergeCell ref="C38:D38"/>
    <mergeCell ref="C18:D18"/>
    <mergeCell ref="E18:F18"/>
    <mergeCell ref="G18:H18"/>
    <mergeCell ref="C19:D19"/>
    <mergeCell ref="E19:F19"/>
    <mergeCell ref="F43:G43"/>
    <mergeCell ref="C39:D39"/>
    <mergeCell ref="C40:D40"/>
    <mergeCell ref="C41:D41"/>
    <mergeCell ref="C42:D42"/>
    <mergeCell ref="E41:F41"/>
    <mergeCell ref="G41:H41"/>
    <mergeCell ref="E39:F39"/>
    <mergeCell ref="G39:H39"/>
    <mergeCell ref="E40:F40"/>
    <mergeCell ref="G40:H40"/>
    <mergeCell ref="C43:E43"/>
    <mergeCell ref="F47:G47"/>
    <mergeCell ref="F49:G49"/>
    <mergeCell ref="F50:G50"/>
    <mergeCell ref="F44:G44"/>
    <mergeCell ref="F45:G45"/>
    <mergeCell ref="F46:G46"/>
    <mergeCell ref="G19:H19"/>
    <mergeCell ref="B36:H36"/>
    <mergeCell ref="E37:F37"/>
    <mergeCell ref="G37:H37"/>
    <mergeCell ref="E38:F38"/>
    <mergeCell ref="G38:H38"/>
    <mergeCell ref="M22:M23"/>
    <mergeCell ref="N22:N23"/>
    <mergeCell ref="C20:D20"/>
    <mergeCell ref="E20:F20"/>
    <mergeCell ref="G20:H20"/>
  </mergeCells>
  <printOptions horizontalCentered="1"/>
  <pageMargins left="0.19685039370078741" right="0.19685039370078741" top="0.37" bottom="0.23622047244094491" header="0.59" footer="0.25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50"/>
  <sheetViews>
    <sheetView zoomScale="110" zoomScaleNormal="110" workbookViewId="0">
      <selection activeCell="H28" sqref="H28"/>
    </sheetView>
  </sheetViews>
  <sheetFormatPr defaultColWidth="9.140625" defaultRowHeight="15.75" outlineLevelRow="1" x14ac:dyDescent="0.25"/>
  <cols>
    <col min="1" max="1" width="2.85546875" style="3" customWidth="1"/>
    <col min="2" max="2" width="56.7109375" style="3" customWidth="1"/>
    <col min="3" max="3" width="21.28515625" style="61" customWidth="1"/>
    <col min="4" max="4" width="8.5703125" style="136" customWidth="1"/>
    <col min="5" max="5" width="10.28515625" style="136" customWidth="1"/>
    <col min="6" max="6" width="10.42578125" style="3" customWidth="1"/>
    <col min="7" max="7" width="10.28515625" style="3" customWidth="1"/>
    <col min="8" max="8" width="11" style="3" customWidth="1"/>
    <col min="9" max="9" width="10.7109375" style="3" bestFit="1" customWidth="1"/>
    <col min="10" max="12" width="9.140625" style="3"/>
    <col min="13" max="13" width="13.42578125" style="194" customWidth="1"/>
    <col min="14" max="14" width="13.140625" style="194" customWidth="1"/>
    <col min="15" max="16384" width="9.140625" style="3"/>
  </cols>
  <sheetData>
    <row r="1" spans="2:9" x14ac:dyDescent="0.25">
      <c r="B1" s="161" t="s">
        <v>116</v>
      </c>
      <c r="C1" s="161"/>
      <c r="D1" s="161"/>
      <c r="E1" s="161"/>
      <c r="F1" s="161"/>
      <c r="G1" s="161"/>
      <c r="H1" s="161"/>
    </row>
    <row r="2" spans="2:9" ht="19.5" customHeight="1" x14ac:dyDescent="0.25">
      <c r="B2" s="185" t="s">
        <v>162</v>
      </c>
      <c r="C2" s="185"/>
      <c r="D2" s="185"/>
      <c r="E2" s="185"/>
      <c r="F2" s="185"/>
      <c r="G2" s="185"/>
      <c r="H2" s="185"/>
    </row>
    <row r="3" spans="2:9" ht="20.25" customHeight="1" x14ac:dyDescent="0.25">
      <c r="B3" s="185"/>
      <c r="C3" s="185"/>
      <c r="D3" s="185"/>
      <c r="E3" s="185"/>
      <c r="F3" s="185"/>
      <c r="G3" s="185"/>
      <c r="H3" s="185"/>
    </row>
    <row r="4" spans="2:9" ht="17.25" customHeight="1" x14ac:dyDescent="0.25"/>
    <row r="5" spans="2:9" x14ac:dyDescent="0.25">
      <c r="B5" s="3" t="s">
        <v>0</v>
      </c>
      <c r="D5" s="172" t="s">
        <v>45</v>
      </c>
      <c r="E5" s="172"/>
    </row>
    <row r="6" spans="2:9" x14ac:dyDescent="0.25">
      <c r="B6" s="3" t="s">
        <v>1</v>
      </c>
      <c r="D6" s="126">
        <v>1960</v>
      </c>
      <c r="E6" s="126"/>
    </row>
    <row r="7" spans="2:9" hidden="1" outlineLevel="1" x14ac:dyDescent="0.25">
      <c r="B7" s="3" t="s">
        <v>2</v>
      </c>
      <c r="D7" s="126">
        <v>2</v>
      </c>
      <c r="E7" s="126"/>
    </row>
    <row r="8" spans="2:9" hidden="1" outlineLevel="1" x14ac:dyDescent="0.25">
      <c r="B8" s="3" t="s">
        <v>3</v>
      </c>
      <c r="D8" s="126">
        <v>16</v>
      </c>
      <c r="E8" s="126"/>
    </row>
    <row r="9" spans="2:9" ht="30.75" hidden="1" customHeight="1" outlineLevel="1" x14ac:dyDescent="0.25">
      <c r="B9" s="17" t="s">
        <v>4</v>
      </c>
      <c r="C9" s="62"/>
      <c r="D9" s="126" t="s">
        <v>46</v>
      </c>
      <c r="E9" s="126"/>
    </row>
    <row r="10" spans="2:9" collapsed="1" x14ac:dyDescent="0.25">
      <c r="B10" s="3" t="s">
        <v>5</v>
      </c>
      <c r="D10" s="126" t="s">
        <v>134</v>
      </c>
      <c r="E10" s="126"/>
      <c r="I10" s="12"/>
    </row>
    <row r="11" spans="2:9" hidden="1" outlineLevel="1" x14ac:dyDescent="0.25">
      <c r="B11" s="3" t="s">
        <v>6</v>
      </c>
      <c r="D11" s="126" t="s">
        <v>7</v>
      </c>
      <c r="E11" s="126"/>
    </row>
    <row r="12" spans="2:9" ht="30.75" hidden="1" customHeight="1" outlineLevel="1" x14ac:dyDescent="0.25">
      <c r="B12" s="17" t="s">
        <v>8</v>
      </c>
      <c r="C12" s="62"/>
      <c r="D12" s="138" t="s">
        <v>47</v>
      </c>
      <c r="E12" s="126"/>
      <c r="I12" s="12"/>
    </row>
    <row r="13" spans="2:9" ht="11.25" customHeight="1" collapsed="1" x14ac:dyDescent="0.25">
      <c r="B13" s="17"/>
      <c r="C13" s="62"/>
      <c r="D13" s="138"/>
      <c r="E13" s="126"/>
      <c r="I13" s="12"/>
    </row>
    <row r="14" spans="2:9" ht="17.25" customHeight="1" thickBot="1" x14ac:dyDescent="0.3">
      <c r="B14" s="188" t="s">
        <v>157</v>
      </c>
      <c r="C14" s="188"/>
      <c r="D14" s="188"/>
      <c r="E14" s="188"/>
      <c r="F14" s="188"/>
      <c r="G14" s="188"/>
      <c r="H14" s="188"/>
      <c r="I14" s="12"/>
    </row>
    <row r="15" spans="2:9" ht="48" customHeight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  <c r="I15" s="12"/>
    </row>
    <row r="16" spans="2:9" x14ac:dyDescent="0.25">
      <c r="B16" s="111" t="s">
        <v>12</v>
      </c>
      <c r="C16" s="139">
        <v>597902.5</v>
      </c>
      <c r="D16" s="175"/>
      <c r="E16" s="143">
        <v>423599.11</v>
      </c>
      <c r="F16" s="144"/>
      <c r="G16" s="143">
        <v>174303.38999999998</v>
      </c>
      <c r="H16" s="145"/>
      <c r="I16" s="12"/>
    </row>
    <row r="17" spans="2:14" x14ac:dyDescent="0.25">
      <c r="B17" s="52" t="s">
        <v>13</v>
      </c>
      <c r="C17" s="141">
        <v>557742.67000000004</v>
      </c>
      <c r="D17" s="173"/>
      <c r="E17" s="141">
        <v>395424.42000000004</v>
      </c>
      <c r="F17" s="142"/>
      <c r="G17" s="141">
        <v>162318.25000000003</v>
      </c>
      <c r="H17" s="146"/>
      <c r="I17" s="12"/>
    </row>
    <row r="18" spans="2:14" x14ac:dyDescent="0.25">
      <c r="B18" s="54" t="s">
        <v>87</v>
      </c>
      <c r="C18" s="141">
        <v>504183.49560000002</v>
      </c>
      <c r="D18" s="173"/>
      <c r="E18" s="150">
        <v>434497.49560000002</v>
      </c>
      <c r="F18" s="151"/>
      <c r="G18" s="150">
        <v>69686</v>
      </c>
      <c r="H18" s="152"/>
      <c r="I18" s="12"/>
    </row>
    <row r="19" spans="2:14" ht="16.5" thickBot="1" x14ac:dyDescent="0.3">
      <c r="B19" s="64" t="s">
        <v>148</v>
      </c>
      <c r="C19" s="147">
        <v>7200</v>
      </c>
      <c r="D19" s="174"/>
      <c r="E19" s="147">
        <v>7200</v>
      </c>
      <c r="F19" s="148"/>
      <c r="G19" s="147">
        <v>0</v>
      </c>
      <c r="H19" s="176"/>
      <c r="I19" s="12"/>
    </row>
    <row r="20" spans="2:14" ht="33" customHeight="1" thickBot="1" x14ac:dyDescent="0.3">
      <c r="B20" s="13" t="s">
        <v>149</v>
      </c>
      <c r="C20" s="156">
        <f>E20+G20</f>
        <v>60759.174400000047</v>
      </c>
      <c r="D20" s="157"/>
      <c r="E20" s="154">
        <f>E17+E19-E18</f>
        <v>-31873.075599999982</v>
      </c>
      <c r="F20" s="155"/>
      <c r="G20" s="154">
        <f>G17-G18</f>
        <v>92632.250000000029</v>
      </c>
      <c r="H20" s="158"/>
      <c r="I20" s="12"/>
    </row>
    <row r="21" spans="2:14" ht="13.5" customHeight="1" x14ac:dyDescent="0.25">
      <c r="B21" s="17"/>
      <c r="C21" s="62"/>
      <c r="D21" s="138"/>
      <c r="E21" s="126"/>
      <c r="I21" s="12"/>
    </row>
    <row r="22" spans="2:14" ht="20.25" customHeight="1" thickBot="1" x14ac:dyDescent="0.3">
      <c r="B22" s="193" t="s">
        <v>163</v>
      </c>
      <c r="C22" s="193"/>
      <c r="D22" s="193"/>
      <c r="E22" s="193"/>
      <c r="F22" s="193"/>
      <c r="G22" s="193"/>
      <c r="H22" s="193"/>
      <c r="I22" s="19"/>
      <c r="J22" s="19"/>
      <c r="L22" s="12"/>
      <c r="M22" s="195" t="s">
        <v>151</v>
      </c>
      <c r="N22" s="195" t="s">
        <v>152</v>
      </c>
    </row>
    <row r="23" spans="2:14" ht="27.75" customHeight="1" x14ac:dyDescent="0.25">
      <c r="B23" s="162" t="s">
        <v>101</v>
      </c>
      <c r="C23" s="164" t="s">
        <v>102</v>
      </c>
      <c r="D23" s="164" t="s">
        <v>103</v>
      </c>
      <c r="E23" s="166" t="s">
        <v>164</v>
      </c>
      <c r="F23" s="168" t="s">
        <v>104</v>
      </c>
      <c r="G23" s="169"/>
      <c r="H23" s="170" t="s">
        <v>123</v>
      </c>
      <c r="I23" s="20"/>
      <c r="J23" s="20"/>
      <c r="L23" s="12"/>
      <c r="M23" s="196"/>
      <c r="N23" s="196"/>
    </row>
    <row r="24" spans="2:14" ht="45" customHeight="1" thickBot="1" x14ac:dyDescent="0.3">
      <c r="B24" s="163"/>
      <c r="C24" s="165"/>
      <c r="D24" s="165"/>
      <c r="E24" s="167"/>
      <c r="F24" s="21" t="s">
        <v>92</v>
      </c>
      <c r="G24" s="22" t="s">
        <v>93</v>
      </c>
      <c r="H24" s="171"/>
      <c r="I24" s="20"/>
      <c r="J24" s="20"/>
      <c r="M24" s="197">
        <v>58679.74</v>
      </c>
      <c r="N24" s="197">
        <f>58679.74*1.01</f>
        <v>59266.537400000001</v>
      </c>
    </row>
    <row r="25" spans="2:14" ht="50.25" customHeight="1" x14ac:dyDescent="0.25">
      <c r="B25" s="23" t="s">
        <v>105</v>
      </c>
      <c r="C25" s="7" t="s">
        <v>121</v>
      </c>
      <c r="D25" s="24" t="s">
        <v>107</v>
      </c>
      <c r="E25" s="25">
        <v>1.06</v>
      </c>
      <c r="F25" s="26">
        <f>$M$24/$M$25*E25</f>
        <v>6158.4677623762364</v>
      </c>
      <c r="G25" s="27">
        <f>$N$24/$N$25*E25</f>
        <v>6220.0524399999995</v>
      </c>
      <c r="H25" s="28">
        <f>F25-G25</f>
        <v>-61.584677623763127</v>
      </c>
      <c r="I25" s="29"/>
      <c r="J25" s="29"/>
      <c r="K25" s="134"/>
      <c r="L25" s="31"/>
      <c r="M25" s="198">
        <f>E34-E32</f>
        <v>10.100000000000001</v>
      </c>
      <c r="N25" s="198">
        <f>E34-E32</f>
        <v>10.100000000000001</v>
      </c>
    </row>
    <row r="26" spans="2:14" ht="56.25" x14ac:dyDescent="0.25">
      <c r="B26" s="32" t="s">
        <v>99</v>
      </c>
      <c r="C26" s="7" t="s">
        <v>121</v>
      </c>
      <c r="D26" s="24" t="s">
        <v>107</v>
      </c>
      <c r="E26" s="8">
        <v>1.19</v>
      </c>
      <c r="F26" s="26">
        <f t="shared" ref="F26:F33" si="0">$M$24/$M$25*E26</f>
        <v>6913.7515445544532</v>
      </c>
      <c r="G26" s="27">
        <f t="shared" ref="G26:G30" si="1">$N$24/$N$25*E26</f>
        <v>6982.8890599999986</v>
      </c>
      <c r="H26" s="28">
        <f t="shared" ref="H26:H31" si="2">F26-G26</f>
        <v>-69.137515445545432</v>
      </c>
      <c r="I26" s="29"/>
      <c r="J26" s="29"/>
      <c r="K26" s="2"/>
      <c r="L26" s="2"/>
      <c r="M26" s="199"/>
      <c r="N26" s="199"/>
    </row>
    <row r="27" spans="2:14" ht="52.5" customHeight="1" x14ac:dyDescent="0.25">
      <c r="B27" s="33" t="s">
        <v>94</v>
      </c>
      <c r="C27" s="7" t="s">
        <v>121</v>
      </c>
      <c r="D27" s="24" t="s">
        <v>107</v>
      </c>
      <c r="E27" s="8">
        <v>0.32</v>
      </c>
      <c r="F27" s="26">
        <f t="shared" si="0"/>
        <v>1859.1600792079205</v>
      </c>
      <c r="G27" s="27">
        <f t="shared" si="1"/>
        <v>1877.7516799999999</v>
      </c>
      <c r="H27" s="28">
        <f t="shared" si="2"/>
        <v>-18.591600792079362</v>
      </c>
      <c r="I27" s="29"/>
      <c r="J27" s="29"/>
      <c r="L27" s="12"/>
    </row>
    <row r="28" spans="2:14" ht="25.5" x14ac:dyDescent="0.25">
      <c r="B28" s="33" t="s">
        <v>108</v>
      </c>
      <c r="C28" s="34" t="s">
        <v>109</v>
      </c>
      <c r="D28" s="24" t="s">
        <v>107</v>
      </c>
      <c r="E28" s="8">
        <v>0.5</v>
      </c>
      <c r="F28" s="26">
        <f>($M$24/12*2)/$M$25*E28</f>
        <v>484.15627062706267</v>
      </c>
      <c r="G28" s="27">
        <f>($N$24/12*2)/$N$25*E28</f>
        <v>488.99783333333329</v>
      </c>
      <c r="H28" s="28">
        <f t="shared" si="2"/>
        <v>-4.8415627062706221</v>
      </c>
      <c r="I28" s="29"/>
      <c r="J28" s="29"/>
      <c r="L28" s="12"/>
    </row>
    <row r="29" spans="2:14" ht="51" x14ac:dyDescent="0.25">
      <c r="B29" s="32" t="s">
        <v>95</v>
      </c>
      <c r="C29" s="7" t="s">
        <v>122</v>
      </c>
      <c r="D29" s="24" t="s">
        <v>107</v>
      </c>
      <c r="E29" s="8">
        <v>1.18</v>
      </c>
      <c r="F29" s="26">
        <f t="shared" si="0"/>
        <v>6855.6527920792059</v>
      </c>
      <c r="G29" s="27">
        <f t="shared" si="1"/>
        <v>6924.209319999999</v>
      </c>
      <c r="H29" s="28">
        <f t="shared" si="2"/>
        <v>-68.556527920793087</v>
      </c>
      <c r="I29" s="29"/>
      <c r="J29" s="29"/>
    </row>
    <row r="30" spans="2:14" ht="228" customHeight="1" x14ac:dyDescent="0.25">
      <c r="B30" s="32" t="s">
        <v>120</v>
      </c>
      <c r="C30" s="35" t="s">
        <v>110</v>
      </c>
      <c r="D30" s="24" t="s">
        <v>107</v>
      </c>
      <c r="E30" s="8">
        <v>5.61</v>
      </c>
      <c r="F30" s="26">
        <f t="shared" si="0"/>
        <v>32593.400138613855</v>
      </c>
      <c r="G30" s="27">
        <f t="shared" si="1"/>
        <v>32919.334139999999</v>
      </c>
      <c r="H30" s="28">
        <f t="shared" si="2"/>
        <v>-325.93400138614379</v>
      </c>
      <c r="I30" s="29"/>
      <c r="J30" s="29"/>
      <c r="K30" s="2"/>
      <c r="L30" s="1"/>
      <c r="M30" s="199"/>
      <c r="N30" s="199"/>
    </row>
    <row r="31" spans="2:14" ht="108.75" customHeight="1" x14ac:dyDescent="0.25">
      <c r="B31" s="32" t="s">
        <v>111</v>
      </c>
      <c r="C31" s="7" t="s">
        <v>121</v>
      </c>
      <c r="D31" s="24" t="s">
        <v>107</v>
      </c>
      <c r="E31" s="8">
        <v>0.19</v>
      </c>
      <c r="F31" s="26">
        <f t="shared" si="0"/>
        <v>1103.8762970297028</v>
      </c>
      <c r="G31" s="27">
        <f t="shared" ref="G31" si="3">$N$24/$N$25*E31</f>
        <v>1114.9150599999998</v>
      </c>
      <c r="H31" s="28">
        <f t="shared" si="2"/>
        <v>-11.038762970297057</v>
      </c>
      <c r="I31" s="29"/>
      <c r="J31" s="29"/>
    </row>
    <row r="32" spans="2:14" ht="56.25" x14ac:dyDescent="0.25">
      <c r="B32" s="33" t="s">
        <v>112</v>
      </c>
      <c r="C32" s="7" t="s">
        <v>121</v>
      </c>
      <c r="D32" s="24" t="s">
        <v>107</v>
      </c>
      <c r="E32" s="8">
        <v>4.45</v>
      </c>
      <c r="F32" s="26">
        <v>28017.68</v>
      </c>
      <c r="G32" s="5">
        <v>3620</v>
      </c>
      <c r="H32" s="28">
        <f>F32-G32</f>
        <v>24397.68</v>
      </c>
      <c r="I32" s="29"/>
      <c r="J32" s="29"/>
      <c r="L32" s="12"/>
    </row>
    <row r="33" spans="2:14" ht="16.5" thickBot="1" x14ac:dyDescent="0.3">
      <c r="B33" s="33" t="s">
        <v>97</v>
      </c>
      <c r="C33" s="69" t="s">
        <v>110</v>
      </c>
      <c r="D33" s="24" t="s">
        <v>107</v>
      </c>
      <c r="E33" s="8">
        <f>0.83-0.78</f>
        <v>4.9999999999999933E-2</v>
      </c>
      <c r="F33" s="26">
        <f t="shared" si="0"/>
        <v>290.49376237623716</v>
      </c>
      <c r="G33" s="27">
        <f t="shared" ref="G33" si="4">$N$24/$N$25*E33</f>
        <v>293.39869999999956</v>
      </c>
      <c r="H33" s="40">
        <f>F33-G33</f>
        <v>-2.9049376237624074</v>
      </c>
      <c r="I33" s="29"/>
      <c r="J33" s="29"/>
    </row>
    <row r="34" spans="2:14" ht="16.5" thickBot="1" x14ac:dyDescent="0.3">
      <c r="B34" s="70" t="s">
        <v>98</v>
      </c>
      <c r="C34" s="71"/>
      <c r="D34" s="71"/>
      <c r="E34" s="72">
        <f>SUM(E25:E33)</f>
        <v>14.55</v>
      </c>
      <c r="F34" s="73">
        <f>SUM(F25:F33)</f>
        <v>84276.638646864667</v>
      </c>
      <c r="G34" s="74">
        <f>SUM(G25:G33)</f>
        <v>60441.548233333328</v>
      </c>
      <c r="H34" s="46">
        <f>SUM(H25:H33)</f>
        <v>23835.090413531343</v>
      </c>
      <c r="I34" s="47"/>
      <c r="J34" s="47"/>
    </row>
    <row r="35" spans="2:14" x14ac:dyDescent="0.25">
      <c r="B35" s="12"/>
      <c r="C35" s="12"/>
      <c r="D35" s="12"/>
      <c r="E35" s="135"/>
      <c r="F35" s="135"/>
      <c r="G35" s="135"/>
      <c r="H35" s="136"/>
      <c r="I35" s="136"/>
      <c r="J35" s="136"/>
    </row>
    <row r="36" spans="2:14" ht="16.5" customHeight="1" thickBot="1" x14ac:dyDescent="0.3">
      <c r="B36" s="188" t="s">
        <v>165</v>
      </c>
      <c r="C36" s="188"/>
      <c r="D36" s="188"/>
      <c r="E36" s="188"/>
      <c r="F36" s="188"/>
      <c r="G36" s="188"/>
      <c r="H36" s="188"/>
      <c r="I36" s="48"/>
      <c r="J36" s="48"/>
    </row>
    <row r="37" spans="2:14" ht="44.25" customHeight="1" thickBot="1" x14ac:dyDescent="0.3">
      <c r="B37" s="110" t="s">
        <v>166</v>
      </c>
      <c r="C37" s="186" t="s">
        <v>113</v>
      </c>
      <c r="D37" s="187"/>
      <c r="E37" s="181" t="s">
        <v>10</v>
      </c>
      <c r="F37" s="189"/>
      <c r="G37" s="181" t="s">
        <v>11</v>
      </c>
      <c r="H37" s="182"/>
      <c r="I37" s="49"/>
      <c r="J37" s="49"/>
      <c r="K37" s="50"/>
      <c r="L37" s="51"/>
      <c r="M37" s="200"/>
      <c r="N37" s="200"/>
    </row>
    <row r="38" spans="2:14" x14ac:dyDescent="0.25">
      <c r="B38" s="111" t="s">
        <v>12</v>
      </c>
      <c r="C38" s="139">
        <f>E38+G38</f>
        <v>682179.13864686468</v>
      </c>
      <c r="D38" s="140"/>
      <c r="E38" s="143">
        <f>F25+F26+F27+F28+F29+F30+F31+F33+E16</f>
        <v>479858.06864686467</v>
      </c>
      <c r="F38" s="144"/>
      <c r="G38" s="143">
        <f>F32+G16</f>
        <v>202321.06999999998</v>
      </c>
      <c r="H38" s="145"/>
      <c r="I38" s="53"/>
      <c r="J38" s="53"/>
      <c r="K38" s="9"/>
      <c r="L38" s="9"/>
      <c r="M38" s="201"/>
    </row>
    <row r="39" spans="2:14" x14ac:dyDescent="0.25">
      <c r="B39" s="52" t="s">
        <v>13</v>
      </c>
      <c r="C39" s="141">
        <f>E39+G39</f>
        <v>631103.56000000006</v>
      </c>
      <c r="D39" s="142"/>
      <c r="E39" s="141">
        <f>E17+49653.11</f>
        <v>445077.53</v>
      </c>
      <c r="F39" s="142"/>
      <c r="G39" s="141">
        <f>G17+23707.78</f>
        <v>186026.03000000003</v>
      </c>
      <c r="H39" s="146"/>
      <c r="I39" s="53"/>
      <c r="J39" s="53"/>
      <c r="K39" s="11"/>
      <c r="L39" s="9"/>
      <c r="M39" s="201"/>
    </row>
    <row r="40" spans="2:14" x14ac:dyDescent="0.25">
      <c r="B40" s="54" t="s">
        <v>87</v>
      </c>
      <c r="C40" s="141">
        <f>E40+G40</f>
        <v>564625.0438333333</v>
      </c>
      <c r="D40" s="142"/>
      <c r="E40" s="150">
        <f>G25+G26+G27+G28+G29+G30+G31+G33+E18</f>
        <v>491319.04383333336</v>
      </c>
      <c r="F40" s="151"/>
      <c r="G40" s="150">
        <f>G32+G18</f>
        <v>73306</v>
      </c>
      <c r="H40" s="152"/>
      <c r="I40" s="53"/>
      <c r="J40" s="53"/>
      <c r="K40" s="55"/>
      <c r="L40" s="55"/>
    </row>
    <row r="41" spans="2:14" ht="16.5" thickBot="1" x14ac:dyDescent="0.3">
      <c r="B41" s="64" t="s">
        <v>148</v>
      </c>
      <c r="C41" s="147">
        <f>E41+G41</f>
        <v>7500</v>
      </c>
      <c r="D41" s="148"/>
      <c r="E41" s="147">
        <f>E19+300</f>
        <v>7500</v>
      </c>
      <c r="F41" s="148"/>
      <c r="G41" s="147">
        <f>G19</f>
        <v>0</v>
      </c>
      <c r="H41" s="176"/>
      <c r="I41" s="53"/>
      <c r="J41" s="53"/>
      <c r="K41" s="55"/>
      <c r="L41" s="55"/>
    </row>
    <row r="42" spans="2:14" ht="25.5" thickBot="1" x14ac:dyDescent="0.3">
      <c r="B42" s="13" t="s">
        <v>150</v>
      </c>
      <c r="C42" s="156">
        <f>E42+G42</f>
        <v>73978.516166666697</v>
      </c>
      <c r="D42" s="157"/>
      <c r="E42" s="154">
        <f>E39+E41-E40</f>
        <v>-38741.513833333331</v>
      </c>
      <c r="F42" s="155"/>
      <c r="G42" s="154">
        <f>G39-G40</f>
        <v>112720.03000000003</v>
      </c>
      <c r="H42" s="158"/>
      <c r="I42" s="53"/>
      <c r="J42" s="53"/>
      <c r="K42" s="55"/>
      <c r="L42" s="55"/>
    </row>
    <row r="43" spans="2:14" ht="34.5" customHeight="1" x14ac:dyDescent="0.25">
      <c r="B43" s="128" t="s">
        <v>88</v>
      </c>
      <c r="C43" s="149" t="s">
        <v>155</v>
      </c>
      <c r="D43" s="149"/>
      <c r="E43" s="149"/>
      <c r="F43" s="153" t="s">
        <v>14</v>
      </c>
      <c r="G43" s="153"/>
      <c r="H43" s="128"/>
      <c r="I43" s="128"/>
      <c r="J43" s="128"/>
      <c r="K43" s="2"/>
      <c r="L43" s="2"/>
      <c r="M43" s="199"/>
      <c r="N43" s="199"/>
    </row>
    <row r="44" spans="2:14" ht="11.25" customHeight="1" x14ac:dyDescent="0.25">
      <c r="B44" s="128"/>
      <c r="C44" s="128"/>
      <c r="D44" s="128"/>
      <c r="E44" s="127"/>
      <c r="F44" s="160"/>
      <c r="G44" s="160"/>
      <c r="H44" s="129"/>
      <c r="I44" s="129"/>
      <c r="J44" s="129"/>
      <c r="K44" s="2"/>
      <c r="L44" s="2"/>
      <c r="M44" s="199"/>
      <c r="N44" s="199"/>
    </row>
    <row r="45" spans="2:14" x14ac:dyDescent="0.25">
      <c r="B45" s="128" t="s">
        <v>89</v>
      </c>
      <c r="C45" s="149" t="s">
        <v>155</v>
      </c>
      <c r="D45" s="149"/>
      <c r="E45" s="149"/>
      <c r="F45" s="153" t="s">
        <v>100</v>
      </c>
      <c r="G45" s="153"/>
      <c r="H45" s="128"/>
      <c r="I45" s="128"/>
      <c r="J45" s="128"/>
      <c r="K45" s="2"/>
      <c r="L45" s="2"/>
      <c r="M45" s="199"/>
      <c r="N45" s="199"/>
    </row>
    <row r="46" spans="2:14" ht="9.75" customHeight="1" x14ac:dyDescent="0.25">
      <c r="B46" s="128"/>
      <c r="C46" s="128"/>
      <c r="D46" s="128"/>
      <c r="E46" s="127"/>
      <c r="F46" s="153"/>
      <c r="G46" s="153"/>
      <c r="H46" s="128"/>
      <c r="I46" s="128"/>
      <c r="J46" s="128"/>
    </row>
    <row r="47" spans="2:14" x14ac:dyDescent="0.25">
      <c r="B47" s="128" t="s">
        <v>90</v>
      </c>
      <c r="C47" s="149" t="s">
        <v>155</v>
      </c>
      <c r="D47" s="149"/>
      <c r="E47" s="149"/>
      <c r="F47" s="153" t="s">
        <v>114</v>
      </c>
      <c r="G47" s="153"/>
      <c r="H47" s="128"/>
      <c r="I47" s="128"/>
      <c r="J47" s="128"/>
    </row>
    <row r="48" spans="2:14" ht="8.25" customHeight="1" x14ac:dyDescent="0.25">
      <c r="B48" s="56"/>
      <c r="C48" s="56"/>
      <c r="D48" s="56"/>
      <c r="E48" s="127"/>
      <c r="F48" s="57"/>
      <c r="G48" s="58"/>
      <c r="H48" s="59"/>
      <c r="I48" s="59"/>
      <c r="J48" s="59"/>
    </row>
    <row r="49" spans="2:7" x14ac:dyDescent="0.25">
      <c r="B49" s="128" t="s">
        <v>91</v>
      </c>
      <c r="C49" s="149" t="s">
        <v>155</v>
      </c>
      <c r="D49" s="149"/>
      <c r="E49" s="149"/>
      <c r="F49" s="153" t="s">
        <v>114</v>
      </c>
      <c r="G49" s="153"/>
    </row>
    <row r="50" spans="2:7" ht="9" customHeight="1" x14ac:dyDescent="0.25">
      <c r="B50" s="60"/>
      <c r="C50" s="60"/>
      <c r="D50" s="60"/>
      <c r="E50" s="127"/>
      <c r="F50" s="159"/>
      <c r="G50" s="159"/>
    </row>
  </sheetData>
  <mergeCells count="61">
    <mergeCell ref="C47:E47"/>
    <mergeCell ref="C49:E49"/>
    <mergeCell ref="M22:M23"/>
    <mergeCell ref="N22:N23"/>
    <mergeCell ref="C37:D37"/>
    <mergeCell ref="C38:D38"/>
    <mergeCell ref="C39:D39"/>
    <mergeCell ref="C40:D40"/>
    <mergeCell ref="C41:D41"/>
    <mergeCell ref="C42:D42"/>
    <mergeCell ref="F46:G46"/>
    <mergeCell ref="F43:G43"/>
    <mergeCell ref="F44:G44"/>
    <mergeCell ref="F45:G45"/>
    <mergeCell ref="E41:F41"/>
    <mergeCell ref="G41:H41"/>
    <mergeCell ref="G40:H40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16:D16"/>
    <mergeCell ref="E16:F16"/>
    <mergeCell ref="G16:H16"/>
    <mergeCell ref="F50:G50"/>
    <mergeCell ref="B2:H3"/>
    <mergeCell ref="D5:E5"/>
    <mergeCell ref="F47:G47"/>
    <mergeCell ref="F49:G49"/>
    <mergeCell ref="B36:H36"/>
    <mergeCell ref="E37:F37"/>
    <mergeCell ref="G37:H37"/>
    <mergeCell ref="E38:F38"/>
    <mergeCell ref="G38:H38"/>
    <mergeCell ref="E39:F39"/>
    <mergeCell ref="G39:H39"/>
    <mergeCell ref="E40:F40"/>
    <mergeCell ref="E42:F42"/>
    <mergeCell ref="G42:H42"/>
    <mergeCell ref="C43:E43"/>
    <mergeCell ref="C45:E45"/>
    <mergeCell ref="B1:H1"/>
    <mergeCell ref="B22:H22"/>
    <mergeCell ref="B23:B24"/>
    <mergeCell ref="C23:C24"/>
    <mergeCell ref="D23:D24"/>
    <mergeCell ref="E23:E24"/>
    <mergeCell ref="F23:G23"/>
    <mergeCell ref="H23:H24"/>
    <mergeCell ref="B14:H14"/>
    <mergeCell ref="C15:D15"/>
    <mergeCell ref="E15:F15"/>
    <mergeCell ref="G15:H15"/>
  </mergeCells>
  <printOptions horizontalCentered="1"/>
  <pageMargins left="0.23622047244094491" right="0.19685039370078741" top="0.15748031496062992" bottom="0.23622047244094491" header="0.31496062992125984" footer="0.31496062992125984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48"/>
  <sheetViews>
    <sheetView zoomScale="110" zoomScaleNormal="110" workbookViewId="0">
      <selection activeCell="C29" sqref="C29"/>
    </sheetView>
  </sheetViews>
  <sheetFormatPr defaultColWidth="9.140625" defaultRowHeight="15.75" outlineLevelRow="1" x14ac:dyDescent="0.25"/>
  <cols>
    <col min="1" max="1" width="2.85546875" style="3" customWidth="1"/>
    <col min="2" max="2" width="57.42578125" style="3" customWidth="1"/>
    <col min="3" max="3" width="23.5703125" style="75" customWidth="1"/>
    <col min="4" max="4" width="8.7109375" style="136" customWidth="1"/>
    <col min="5" max="5" width="10.5703125" style="136" customWidth="1"/>
    <col min="6" max="6" width="9.42578125" style="3" customWidth="1"/>
    <col min="7" max="7" width="10.28515625" style="3" customWidth="1"/>
    <col min="8" max="8" width="10.85546875" style="3" customWidth="1"/>
    <col min="9" max="9" width="12.28515625" style="3" customWidth="1"/>
    <col min="10" max="12" width="9.140625" style="3"/>
    <col min="13" max="13" width="13.42578125" style="194" customWidth="1"/>
    <col min="14" max="14" width="15.42578125" style="194" customWidth="1"/>
    <col min="15" max="16384" width="9.140625" style="3"/>
  </cols>
  <sheetData>
    <row r="1" spans="2:9" x14ac:dyDescent="0.25">
      <c r="B1" s="161" t="s">
        <v>116</v>
      </c>
      <c r="C1" s="161"/>
      <c r="D1" s="161"/>
      <c r="E1" s="161"/>
      <c r="F1" s="161"/>
      <c r="G1" s="161"/>
      <c r="H1" s="161"/>
    </row>
    <row r="2" spans="2:9" ht="19.5" customHeight="1" x14ac:dyDescent="0.25">
      <c r="B2" s="185" t="s">
        <v>162</v>
      </c>
      <c r="C2" s="185"/>
      <c r="D2" s="185"/>
      <c r="E2" s="185"/>
      <c r="F2" s="185"/>
      <c r="G2" s="185"/>
      <c r="H2" s="185"/>
    </row>
    <row r="3" spans="2:9" ht="20.25" customHeight="1" x14ac:dyDescent="0.25">
      <c r="B3" s="185"/>
      <c r="C3" s="185"/>
      <c r="D3" s="185"/>
      <c r="E3" s="185"/>
      <c r="F3" s="185"/>
      <c r="G3" s="185"/>
      <c r="H3" s="185"/>
    </row>
    <row r="4" spans="2:9" ht="18" customHeight="1" x14ac:dyDescent="0.25"/>
    <row r="5" spans="2:9" x14ac:dyDescent="0.25">
      <c r="B5" s="3" t="s">
        <v>0</v>
      </c>
      <c r="D5" s="172" t="s">
        <v>48</v>
      </c>
      <c r="E5" s="172"/>
    </row>
    <row r="6" spans="2:9" x14ac:dyDescent="0.25">
      <c r="B6" s="3" t="s">
        <v>1</v>
      </c>
      <c r="D6" s="126">
        <v>1955</v>
      </c>
      <c r="E6" s="126"/>
    </row>
    <row r="7" spans="2:9" hidden="1" outlineLevel="1" x14ac:dyDescent="0.25">
      <c r="B7" s="3" t="s">
        <v>2</v>
      </c>
      <c r="D7" s="126">
        <v>2</v>
      </c>
      <c r="E7" s="126"/>
    </row>
    <row r="8" spans="2:9" hidden="1" outlineLevel="1" x14ac:dyDescent="0.25">
      <c r="B8" s="3" t="s">
        <v>3</v>
      </c>
      <c r="D8" s="126">
        <v>8</v>
      </c>
      <c r="E8" s="126"/>
    </row>
    <row r="9" spans="2:9" ht="30.75" hidden="1" customHeight="1" outlineLevel="1" x14ac:dyDescent="0.25">
      <c r="B9" s="17" t="s">
        <v>4</v>
      </c>
      <c r="C9" s="76"/>
      <c r="D9" s="126" t="s">
        <v>49</v>
      </c>
      <c r="E9" s="126"/>
    </row>
    <row r="10" spans="2:9" collapsed="1" x14ac:dyDescent="0.25">
      <c r="B10" s="3" t="s">
        <v>5</v>
      </c>
      <c r="D10" s="126" t="s">
        <v>135</v>
      </c>
      <c r="E10" s="126"/>
      <c r="I10" s="12"/>
    </row>
    <row r="11" spans="2:9" hidden="1" outlineLevel="1" x14ac:dyDescent="0.25">
      <c r="B11" s="3" t="s">
        <v>6</v>
      </c>
      <c r="D11" s="126" t="s">
        <v>7</v>
      </c>
      <c r="E11" s="126"/>
    </row>
    <row r="12" spans="2:9" ht="30.75" hidden="1" customHeight="1" outlineLevel="1" x14ac:dyDescent="0.25">
      <c r="B12" s="17" t="s">
        <v>8</v>
      </c>
      <c r="C12" s="76"/>
      <c r="D12" s="138" t="s">
        <v>50</v>
      </c>
      <c r="E12" s="126"/>
      <c r="I12" s="12"/>
    </row>
    <row r="13" spans="2:9" ht="10.5" customHeight="1" collapsed="1" x14ac:dyDescent="0.25">
      <c r="B13" s="17"/>
      <c r="C13" s="76"/>
      <c r="D13" s="138"/>
      <c r="E13" s="126"/>
      <c r="I13" s="12"/>
    </row>
    <row r="14" spans="2:9" ht="16.5" thickBot="1" x14ac:dyDescent="0.3">
      <c r="B14" s="188" t="s">
        <v>157</v>
      </c>
      <c r="C14" s="188"/>
      <c r="D14" s="188"/>
      <c r="E14" s="188"/>
      <c r="F14" s="188"/>
      <c r="G14" s="188"/>
      <c r="H14" s="188"/>
      <c r="I14" s="12"/>
    </row>
    <row r="15" spans="2:9" ht="40.5" customHeight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  <c r="I15" s="12"/>
    </row>
    <row r="16" spans="2:9" x14ac:dyDescent="0.25">
      <c r="B16" s="111" t="s">
        <v>12</v>
      </c>
      <c r="C16" s="139">
        <v>402199.77</v>
      </c>
      <c r="D16" s="175"/>
      <c r="E16" s="143">
        <v>283400.17000000004</v>
      </c>
      <c r="F16" s="144"/>
      <c r="G16" s="143">
        <v>118799.6</v>
      </c>
      <c r="H16" s="145"/>
      <c r="I16" s="12"/>
    </row>
    <row r="17" spans="2:14" x14ac:dyDescent="0.25">
      <c r="B17" s="52" t="s">
        <v>13</v>
      </c>
      <c r="C17" s="141">
        <v>357666.35</v>
      </c>
      <c r="D17" s="173"/>
      <c r="E17" s="141">
        <v>252063.53</v>
      </c>
      <c r="F17" s="142"/>
      <c r="G17" s="141">
        <v>105602.81999999999</v>
      </c>
      <c r="H17" s="146"/>
      <c r="I17" s="12"/>
    </row>
    <row r="18" spans="2:14" ht="16.5" thickBot="1" x14ac:dyDescent="0.3">
      <c r="B18" s="54" t="s">
        <v>87</v>
      </c>
      <c r="C18" s="147">
        <v>461560.44199999998</v>
      </c>
      <c r="D18" s="174"/>
      <c r="E18" s="150">
        <v>284816.44199999998</v>
      </c>
      <c r="F18" s="151"/>
      <c r="G18" s="150">
        <v>176744</v>
      </c>
      <c r="H18" s="152"/>
      <c r="I18" s="12"/>
    </row>
    <row r="19" spans="2:14" ht="30.75" customHeight="1" thickBot="1" x14ac:dyDescent="0.3">
      <c r="B19" s="13" t="s">
        <v>149</v>
      </c>
      <c r="C19" s="156">
        <f>E19+G19</f>
        <v>-103894.09199999999</v>
      </c>
      <c r="D19" s="157"/>
      <c r="E19" s="154">
        <f>E17-E18</f>
        <v>-32752.911999999982</v>
      </c>
      <c r="F19" s="155"/>
      <c r="G19" s="154">
        <f>G17-G18</f>
        <v>-71141.180000000008</v>
      </c>
      <c r="H19" s="158"/>
      <c r="I19" s="12"/>
    </row>
    <row r="20" spans="2:14" x14ac:dyDescent="0.25">
      <c r="B20" s="17"/>
      <c r="C20" s="76"/>
      <c r="D20" s="138"/>
      <c r="E20" s="126"/>
      <c r="I20" s="12"/>
    </row>
    <row r="21" spans="2:14" ht="23.25" customHeight="1" thickBot="1" x14ac:dyDescent="0.3">
      <c r="B21" s="193" t="s">
        <v>163</v>
      </c>
      <c r="C21" s="193"/>
      <c r="D21" s="193"/>
      <c r="E21" s="193"/>
      <c r="F21" s="193"/>
      <c r="G21" s="193"/>
      <c r="H21" s="193"/>
      <c r="I21" s="19"/>
      <c r="J21" s="19"/>
      <c r="L21" s="12"/>
      <c r="M21" s="195" t="s">
        <v>151</v>
      </c>
      <c r="N21" s="195" t="s">
        <v>152</v>
      </c>
    </row>
    <row r="22" spans="2:14" ht="27.75" customHeight="1" x14ac:dyDescent="0.25">
      <c r="B22" s="162" t="s">
        <v>101</v>
      </c>
      <c r="C22" s="164" t="s">
        <v>102</v>
      </c>
      <c r="D22" s="164" t="s">
        <v>103</v>
      </c>
      <c r="E22" s="166" t="s">
        <v>167</v>
      </c>
      <c r="F22" s="168" t="s">
        <v>104</v>
      </c>
      <c r="G22" s="169"/>
      <c r="H22" s="170" t="s">
        <v>123</v>
      </c>
      <c r="I22" s="20"/>
      <c r="J22" s="20"/>
      <c r="L22" s="12"/>
      <c r="M22" s="196"/>
      <c r="N22" s="196"/>
    </row>
    <row r="23" spans="2:14" ht="45" customHeight="1" thickBot="1" x14ac:dyDescent="0.3">
      <c r="B23" s="163"/>
      <c r="C23" s="165"/>
      <c r="D23" s="165"/>
      <c r="E23" s="167"/>
      <c r="F23" s="21" t="s">
        <v>92</v>
      </c>
      <c r="G23" s="22" t="s">
        <v>93</v>
      </c>
      <c r="H23" s="171"/>
      <c r="I23" s="20"/>
      <c r="J23" s="20"/>
      <c r="M23" s="197">
        <v>48886.19</v>
      </c>
      <c r="N23" s="197">
        <f>48886.19*1.01</f>
        <v>49375.051900000006</v>
      </c>
    </row>
    <row r="24" spans="2:14" ht="50.25" customHeight="1" x14ac:dyDescent="0.25">
      <c r="B24" s="23" t="s">
        <v>105</v>
      </c>
      <c r="C24" s="7" t="s">
        <v>121</v>
      </c>
      <c r="D24" s="24" t="s">
        <v>107</v>
      </c>
      <c r="E24" s="25">
        <v>1.06</v>
      </c>
      <c r="F24" s="26">
        <f>$M$23/$M$24*E24</f>
        <v>4925.7948098859324</v>
      </c>
      <c r="G24" s="27">
        <f>$N$23/$N$24*E24</f>
        <v>4975.0527579847922</v>
      </c>
      <c r="H24" s="28">
        <f>F24-G24</f>
        <v>-49.257948098859742</v>
      </c>
      <c r="I24" s="29"/>
      <c r="J24" s="29"/>
      <c r="K24" s="134"/>
      <c r="L24" s="31"/>
      <c r="M24" s="198">
        <f>E33-E31</f>
        <v>10.52</v>
      </c>
      <c r="N24" s="198">
        <f>E33-E31</f>
        <v>10.52</v>
      </c>
    </row>
    <row r="25" spans="2:14" ht="51" x14ac:dyDescent="0.25">
      <c r="B25" s="32" t="s">
        <v>99</v>
      </c>
      <c r="C25" s="7" t="s">
        <v>121</v>
      </c>
      <c r="D25" s="24" t="s">
        <v>107</v>
      </c>
      <c r="E25" s="8">
        <v>1.19</v>
      </c>
      <c r="F25" s="26">
        <f t="shared" ref="F25:F32" si="0">$M$23/$M$24*E25</f>
        <v>5529.9017205323198</v>
      </c>
      <c r="G25" s="27">
        <f t="shared" ref="G25:G29" si="1">$N$23/$N$24*E25</f>
        <v>5585.200737737644</v>
      </c>
      <c r="H25" s="28">
        <f t="shared" ref="H25:H30" si="2">F25-G25</f>
        <v>-55.299017205324162</v>
      </c>
      <c r="I25" s="29"/>
      <c r="J25" s="29"/>
      <c r="K25" s="2"/>
      <c r="L25" s="2"/>
      <c r="M25" s="199"/>
      <c r="N25" s="199"/>
    </row>
    <row r="26" spans="2:14" ht="52.5" customHeight="1" x14ac:dyDescent="0.25">
      <c r="B26" s="33" t="s">
        <v>94</v>
      </c>
      <c r="C26" s="7" t="s">
        <v>121</v>
      </c>
      <c r="D26" s="24" t="s">
        <v>107</v>
      </c>
      <c r="E26" s="8">
        <v>0.32</v>
      </c>
      <c r="F26" s="26">
        <f t="shared" si="0"/>
        <v>1487.0323954372627</v>
      </c>
      <c r="G26" s="27">
        <f t="shared" si="1"/>
        <v>1501.9027193916354</v>
      </c>
      <c r="H26" s="28">
        <f t="shared" si="2"/>
        <v>-14.87032395437268</v>
      </c>
      <c r="I26" s="29"/>
      <c r="J26" s="29"/>
      <c r="L26" s="12"/>
    </row>
    <row r="27" spans="2:14" ht="25.5" x14ac:dyDescent="0.25">
      <c r="B27" s="33" t="s">
        <v>108</v>
      </c>
      <c r="C27" s="34" t="s">
        <v>109</v>
      </c>
      <c r="D27" s="24" t="s">
        <v>107</v>
      </c>
      <c r="E27" s="8">
        <v>0.5</v>
      </c>
      <c r="F27" s="26">
        <f>($M$23/12*2)/$M$24*E27</f>
        <v>387.24801964512045</v>
      </c>
      <c r="G27" s="27">
        <f>($N$23/12*2)/$N$24*E27</f>
        <v>391.1204998415717</v>
      </c>
      <c r="H27" s="28">
        <f t="shared" si="2"/>
        <v>-3.8724801964512494</v>
      </c>
      <c r="I27" s="29"/>
      <c r="J27" s="29"/>
      <c r="L27" s="12"/>
    </row>
    <row r="28" spans="2:14" ht="51" x14ac:dyDescent="0.25">
      <c r="B28" s="32" t="s">
        <v>95</v>
      </c>
      <c r="C28" s="7" t="s">
        <v>122</v>
      </c>
      <c r="D28" s="24" t="s">
        <v>107</v>
      </c>
      <c r="E28" s="8">
        <v>1.18</v>
      </c>
      <c r="F28" s="26">
        <f t="shared" si="0"/>
        <v>5483.431958174906</v>
      </c>
      <c r="G28" s="27">
        <f t="shared" si="1"/>
        <v>5538.2662777566547</v>
      </c>
      <c r="H28" s="28">
        <f t="shared" si="2"/>
        <v>-54.834319581748787</v>
      </c>
      <c r="I28" s="29"/>
      <c r="J28" s="29"/>
    </row>
    <row r="29" spans="2:14" ht="228" customHeight="1" x14ac:dyDescent="0.25">
      <c r="B29" s="32" t="s">
        <v>120</v>
      </c>
      <c r="C29" s="35" t="s">
        <v>110</v>
      </c>
      <c r="D29" s="24" t="s">
        <v>107</v>
      </c>
      <c r="E29" s="8">
        <v>5.61</v>
      </c>
      <c r="F29" s="26">
        <f t="shared" si="0"/>
        <v>26069.536682509512</v>
      </c>
      <c r="G29" s="27">
        <f t="shared" si="1"/>
        <v>26330.232049334609</v>
      </c>
      <c r="H29" s="28">
        <f t="shared" si="2"/>
        <v>-260.69536682509715</v>
      </c>
      <c r="I29" s="29"/>
      <c r="J29" s="29"/>
      <c r="K29" s="2"/>
      <c r="L29" s="1"/>
      <c r="M29" s="199"/>
      <c r="N29" s="199"/>
    </row>
    <row r="30" spans="2:14" ht="120" customHeight="1" x14ac:dyDescent="0.25">
      <c r="B30" s="32" t="s">
        <v>111</v>
      </c>
      <c r="C30" s="7" t="s">
        <v>121</v>
      </c>
      <c r="D30" s="24" t="s">
        <v>107</v>
      </c>
      <c r="E30" s="8">
        <v>0.24</v>
      </c>
      <c r="F30" s="26">
        <f t="shared" si="0"/>
        <v>1115.2742965779469</v>
      </c>
      <c r="G30" s="27">
        <f t="shared" ref="G30" si="3">$N$23/$N$24*E30</f>
        <v>1126.4270395437266</v>
      </c>
      <c r="H30" s="28">
        <f t="shared" si="2"/>
        <v>-11.15274296577968</v>
      </c>
      <c r="I30" s="29"/>
      <c r="J30" s="29"/>
    </row>
    <row r="31" spans="2:14" ht="48.75" customHeight="1" x14ac:dyDescent="0.25">
      <c r="B31" s="33" t="s">
        <v>112</v>
      </c>
      <c r="C31" s="7" t="s">
        <v>121</v>
      </c>
      <c r="D31" s="24" t="s">
        <v>107</v>
      </c>
      <c r="E31" s="8">
        <v>4.9000000000000004</v>
      </c>
      <c r="F31" s="26">
        <v>23438.59</v>
      </c>
      <c r="G31" s="5">
        <v>7929</v>
      </c>
      <c r="H31" s="28">
        <f>F31-G31</f>
        <v>15509.59</v>
      </c>
      <c r="I31" s="29"/>
      <c r="J31" s="29"/>
      <c r="L31" s="12"/>
    </row>
    <row r="32" spans="2:14" ht="16.5" thickBot="1" x14ac:dyDescent="0.3">
      <c r="B32" s="36" t="s">
        <v>97</v>
      </c>
      <c r="C32" s="37" t="s">
        <v>110</v>
      </c>
      <c r="D32" s="38" t="s">
        <v>107</v>
      </c>
      <c r="E32" s="39">
        <v>0.42</v>
      </c>
      <c r="F32" s="26">
        <f t="shared" si="0"/>
        <v>1951.7300190114072</v>
      </c>
      <c r="G32" s="27">
        <f t="shared" ref="G32" si="4">$N$23/$N$24*E32</f>
        <v>1971.2473192015213</v>
      </c>
      <c r="H32" s="40">
        <f>F32-G32</f>
        <v>-19.517300190114156</v>
      </c>
      <c r="I32" s="29"/>
      <c r="J32" s="29"/>
    </row>
    <row r="33" spans="2:14" ht="16.5" thickBot="1" x14ac:dyDescent="0.3">
      <c r="B33" s="41" t="s">
        <v>98</v>
      </c>
      <c r="C33" s="42"/>
      <c r="D33" s="42"/>
      <c r="E33" s="43">
        <f>SUM(E24:E32)</f>
        <v>15.42</v>
      </c>
      <c r="F33" s="44">
        <f>SUM(F24:F32)</f>
        <v>70388.539901774406</v>
      </c>
      <c r="G33" s="45">
        <f>SUM(G24:G32)</f>
        <v>55348.44940079216</v>
      </c>
      <c r="H33" s="46">
        <f>SUM(H24:H32)</f>
        <v>15040.090500982253</v>
      </c>
      <c r="I33" s="47"/>
      <c r="J33" s="47"/>
    </row>
    <row r="34" spans="2:14" x14ac:dyDescent="0.25">
      <c r="B34" s="12"/>
      <c r="C34" s="12"/>
      <c r="D34" s="12"/>
      <c r="E34" s="135"/>
      <c r="F34" s="135"/>
      <c r="G34" s="135"/>
      <c r="H34" s="136"/>
      <c r="I34" s="136"/>
      <c r="J34" s="136"/>
    </row>
    <row r="35" spans="2:14" ht="16.5" customHeight="1" thickBot="1" x14ac:dyDescent="0.3">
      <c r="B35" s="188" t="s">
        <v>165</v>
      </c>
      <c r="C35" s="188"/>
      <c r="D35" s="188"/>
      <c r="E35" s="188"/>
      <c r="F35" s="188"/>
      <c r="G35" s="188"/>
      <c r="H35" s="188"/>
      <c r="I35" s="48"/>
      <c r="J35" s="48"/>
    </row>
    <row r="36" spans="2:14" ht="44.25" customHeight="1" thickBot="1" x14ac:dyDescent="0.3">
      <c r="B36" s="110" t="s">
        <v>166</v>
      </c>
      <c r="C36" s="186" t="s">
        <v>113</v>
      </c>
      <c r="D36" s="187"/>
      <c r="E36" s="181" t="s">
        <v>10</v>
      </c>
      <c r="F36" s="189"/>
      <c r="G36" s="181" t="s">
        <v>11</v>
      </c>
      <c r="H36" s="182"/>
      <c r="I36" s="49"/>
      <c r="J36" s="49"/>
      <c r="K36" s="50"/>
      <c r="L36" s="51"/>
      <c r="M36" s="200"/>
      <c r="N36" s="200"/>
    </row>
    <row r="37" spans="2:14" x14ac:dyDescent="0.25">
      <c r="B37" s="111" t="s">
        <v>12</v>
      </c>
      <c r="C37" s="139">
        <f>E37+G37</f>
        <v>472588.30990177445</v>
      </c>
      <c r="D37" s="140"/>
      <c r="E37" s="143">
        <f>F24+F25+F26+F27+F28+F29+F30+F32+E16</f>
        <v>330350.11990177445</v>
      </c>
      <c r="F37" s="144"/>
      <c r="G37" s="143">
        <f>F31+G16</f>
        <v>142238.19</v>
      </c>
      <c r="H37" s="145"/>
      <c r="I37" s="53"/>
      <c r="J37" s="53"/>
      <c r="K37" s="9"/>
      <c r="L37" s="9"/>
      <c r="M37" s="201"/>
    </row>
    <row r="38" spans="2:14" x14ac:dyDescent="0.25">
      <c r="B38" s="52" t="s">
        <v>13</v>
      </c>
      <c r="C38" s="141">
        <f>E38+G38</f>
        <v>452032.79</v>
      </c>
      <c r="D38" s="142"/>
      <c r="E38" s="141">
        <f>E17+63784.72</f>
        <v>315848.25</v>
      </c>
      <c r="F38" s="142"/>
      <c r="G38" s="141">
        <f>G17+30581.72</f>
        <v>136184.53999999998</v>
      </c>
      <c r="H38" s="146"/>
      <c r="I38" s="53"/>
      <c r="J38" s="53"/>
      <c r="K38" s="11"/>
      <c r="L38" s="9"/>
      <c r="M38" s="201"/>
    </row>
    <row r="39" spans="2:14" ht="16.5" thickBot="1" x14ac:dyDescent="0.3">
      <c r="B39" s="54" t="s">
        <v>87</v>
      </c>
      <c r="C39" s="147">
        <f>E39+G39</f>
        <v>516908.89140079217</v>
      </c>
      <c r="D39" s="148"/>
      <c r="E39" s="150">
        <f>G24+G25+G26+G27+G28+G29+G30+G32+E18</f>
        <v>332235.89140079217</v>
      </c>
      <c r="F39" s="151"/>
      <c r="G39" s="150">
        <f>G31+G18</f>
        <v>184673</v>
      </c>
      <c r="H39" s="152"/>
      <c r="I39" s="53"/>
      <c r="J39" s="53"/>
      <c r="K39" s="55"/>
      <c r="L39" s="55"/>
    </row>
    <row r="40" spans="2:14" ht="32.25" customHeight="1" thickBot="1" x14ac:dyDescent="0.3">
      <c r="B40" s="13" t="s">
        <v>150</v>
      </c>
      <c r="C40" s="156">
        <f>E40+G40</f>
        <v>-64876.101400792191</v>
      </c>
      <c r="D40" s="157"/>
      <c r="E40" s="154">
        <f>E38-E39</f>
        <v>-16387.64140079217</v>
      </c>
      <c r="F40" s="155"/>
      <c r="G40" s="154">
        <f>G38-G39</f>
        <v>-48488.460000000021</v>
      </c>
      <c r="H40" s="158"/>
      <c r="I40" s="53"/>
      <c r="J40" s="53"/>
      <c r="K40" s="55"/>
      <c r="L40" s="55"/>
    </row>
    <row r="41" spans="2:14" ht="34.5" customHeight="1" x14ac:dyDescent="0.25">
      <c r="B41" s="128" t="s">
        <v>88</v>
      </c>
      <c r="C41" s="149" t="s">
        <v>155</v>
      </c>
      <c r="D41" s="149"/>
      <c r="E41" s="149"/>
      <c r="F41" s="153" t="s">
        <v>14</v>
      </c>
      <c r="G41" s="153"/>
      <c r="H41" s="128"/>
      <c r="I41" s="128"/>
      <c r="J41" s="128"/>
      <c r="K41" s="2"/>
      <c r="L41" s="2"/>
      <c r="M41" s="199"/>
      <c r="N41" s="199"/>
    </row>
    <row r="42" spans="2:14" ht="11.25" customHeight="1" x14ac:dyDescent="0.25">
      <c r="B42" s="128"/>
      <c r="C42" s="128"/>
      <c r="D42" s="128"/>
      <c r="E42" s="127"/>
      <c r="F42" s="160"/>
      <c r="G42" s="160"/>
      <c r="H42" s="129"/>
      <c r="I42" s="129"/>
      <c r="J42" s="129"/>
      <c r="K42" s="2"/>
      <c r="L42" s="2"/>
      <c r="M42" s="199"/>
      <c r="N42" s="199"/>
    </row>
    <row r="43" spans="2:14" x14ac:dyDescent="0.25">
      <c r="B43" s="128" t="s">
        <v>89</v>
      </c>
      <c r="C43" s="149" t="s">
        <v>155</v>
      </c>
      <c r="D43" s="149"/>
      <c r="E43" s="149"/>
      <c r="F43" s="153" t="s">
        <v>100</v>
      </c>
      <c r="G43" s="153"/>
      <c r="H43" s="128"/>
      <c r="I43" s="128"/>
      <c r="J43" s="128"/>
      <c r="K43" s="2"/>
      <c r="L43" s="2"/>
      <c r="M43" s="199"/>
      <c r="N43" s="199"/>
    </row>
    <row r="44" spans="2:14" ht="9.75" customHeight="1" x14ac:dyDescent="0.25">
      <c r="B44" s="128"/>
      <c r="C44" s="128"/>
      <c r="D44" s="128"/>
      <c r="E44" s="127"/>
      <c r="F44" s="153"/>
      <c r="G44" s="153"/>
      <c r="H44" s="128"/>
      <c r="I44" s="128"/>
      <c r="J44" s="128"/>
    </row>
    <row r="45" spans="2:14" x14ac:dyDescent="0.25">
      <c r="B45" s="128" t="s">
        <v>90</v>
      </c>
      <c r="C45" s="149" t="s">
        <v>155</v>
      </c>
      <c r="D45" s="149"/>
      <c r="E45" s="149"/>
      <c r="F45" s="153" t="s">
        <v>114</v>
      </c>
      <c r="G45" s="153"/>
      <c r="H45" s="128"/>
      <c r="I45" s="128"/>
      <c r="J45" s="128"/>
    </row>
    <row r="46" spans="2:14" ht="8.25" customHeight="1" x14ac:dyDescent="0.25">
      <c r="B46" s="56"/>
      <c r="C46" s="56"/>
      <c r="D46" s="56"/>
      <c r="E46" s="127"/>
      <c r="F46" s="57"/>
      <c r="G46" s="58"/>
      <c r="H46" s="59"/>
      <c r="I46" s="59"/>
      <c r="J46" s="59"/>
    </row>
    <row r="47" spans="2:14" x14ac:dyDescent="0.25">
      <c r="B47" s="128" t="s">
        <v>91</v>
      </c>
      <c r="C47" s="149" t="s">
        <v>155</v>
      </c>
      <c r="D47" s="149"/>
      <c r="E47" s="149"/>
      <c r="F47" s="153" t="s">
        <v>114</v>
      </c>
      <c r="G47" s="153"/>
    </row>
    <row r="48" spans="2:14" ht="9" customHeight="1" x14ac:dyDescent="0.25">
      <c r="B48" s="60"/>
      <c r="C48" s="60"/>
      <c r="D48" s="60"/>
      <c r="E48" s="127"/>
      <c r="F48" s="159"/>
      <c r="G48" s="159"/>
    </row>
  </sheetData>
  <mergeCells count="55">
    <mergeCell ref="M21:M22"/>
    <mergeCell ref="N21:N22"/>
    <mergeCell ref="B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F47:G47"/>
    <mergeCell ref="E40:F40"/>
    <mergeCell ref="F48:G48"/>
    <mergeCell ref="G40:H40"/>
    <mergeCell ref="F41:G41"/>
    <mergeCell ref="F42:G42"/>
    <mergeCell ref="F43:G43"/>
    <mergeCell ref="F44:G44"/>
    <mergeCell ref="F45:G45"/>
    <mergeCell ref="C41:E41"/>
    <mergeCell ref="C43:E43"/>
    <mergeCell ref="C45:E45"/>
    <mergeCell ref="C47:E47"/>
    <mergeCell ref="C40:D40"/>
    <mergeCell ref="B1:H1"/>
    <mergeCell ref="B21:H21"/>
    <mergeCell ref="B22:B23"/>
    <mergeCell ref="C22:C23"/>
    <mergeCell ref="D22:D23"/>
    <mergeCell ref="E22:E23"/>
    <mergeCell ref="F22:G22"/>
    <mergeCell ref="H22:H23"/>
    <mergeCell ref="B2:H3"/>
    <mergeCell ref="D5:E5"/>
    <mergeCell ref="E19:F19"/>
    <mergeCell ref="G19:H19"/>
    <mergeCell ref="B35:H35"/>
    <mergeCell ref="G36:H36"/>
    <mergeCell ref="G37:H37"/>
    <mergeCell ref="G38:H38"/>
    <mergeCell ref="G39:H39"/>
    <mergeCell ref="E36:F36"/>
    <mergeCell ref="E37:F37"/>
    <mergeCell ref="E38:F38"/>
    <mergeCell ref="E39:F39"/>
    <mergeCell ref="C36:D36"/>
    <mergeCell ref="C37:D37"/>
    <mergeCell ref="C38:D38"/>
    <mergeCell ref="C39:D39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51"/>
  <sheetViews>
    <sheetView topLeftCell="A3" zoomScale="110" zoomScaleNormal="110" workbookViewId="0">
      <selection activeCell="A19" sqref="A1:XFD1048576"/>
    </sheetView>
  </sheetViews>
  <sheetFormatPr defaultColWidth="9.140625" defaultRowHeight="15.75" outlineLevelRow="1" x14ac:dyDescent="0.25"/>
  <cols>
    <col min="1" max="1" width="2.85546875" style="3" customWidth="1"/>
    <col min="2" max="2" width="57.5703125" style="3" customWidth="1"/>
    <col min="3" max="3" width="21.42578125" style="136" customWidth="1"/>
    <col min="4" max="4" width="9.28515625" style="136" customWidth="1"/>
    <col min="5" max="5" width="10.28515625" style="136" customWidth="1"/>
    <col min="6" max="6" width="9.85546875" style="3" customWidth="1"/>
    <col min="7" max="7" width="10.28515625" style="3" customWidth="1"/>
    <col min="8" max="8" width="10.5703125" style="3" customWidth="1"/>
    <col min="9" max="9" width="12.28515625" style="3" customWidth="1"/>
    <col min="10" max="12" width="9.140625" style="3"/>
    <col min="13" max="13" width="16.140625" style="194" customWidth="1"/>
    <col min="14" max="14" width="14.7109375" style="194" customWidth="1"/>
    <col min="15" max="16384" width="9.140625" style="3"/>
  </cols>
  <sheetData>
    <row r="1" spans="2:9" x14ac:dyDescent="0.25">
      <c r="B1" s="161" t="s">
        <v>116</v>
      </c>
      <c r="C1" s="161"/>
      <c r="D1" s="161"/>
      <c r="E1" s="161"/>
      <c r="F1" s="161"/>
      <c r="G1" s="161"/>
      <c r="H1" s="161"/>
    </row>
    <row r="2" spans="2:9" ht="19.5" customHeight="1" x14ac:dyDescent="0.25">
      <c r="B2" s="185" t="s">
        <v>162</v>
      </c>
      <c r="C2" s="185"/>
      <c r="D2" s="185"/>
      <c r="E2" s="185"/>
      <c r="F2" s="185"/>
      <c r="G2" s="185"/>
      <c r="H2" s="185"/>
    </row>
    <row r="3" spans="2:9" ht="20.25" customHeight="1" x14ac:dyDescent="0.25">
      <c r="B3" s="185"/>
      <c r="C3" s="185"/>
      <c r="D3" s="185"/>
      <c r="E3" s="185"/>
      <c r="F3" s="185"/>
      <c r="G3" s="185"/>
      <c r="H3" s="185"/>
    </row>
    <row r="4" spans="2:9" ht="16.5" customHeight="1" x14ac:dyDescent="0.25"/>
    <row r="5" spans="2:9" x14ac:dyDescent="0.25">
      <c r="B5" s="3" t="s">
        <v>0</v>
      </c>
      <c r="D5" s="172" t="s">
        <v>51</v>
      </c>
      <c r="E5" s="172"/>
    </row>
    <row r="6" spans="2:9" x14ac:dyDescent="0.25">
      <c r="B6" s="3" t="s">
        <v>1</v>
      </c>
      <c r="D6" s="126">
        <v>1955</v>
      </c>
      <c r="E6" s="126"/>
    </row>
    <row r="7" spans="2:9" hidden="1" outlineLevel="1" x14ac:dyDescent="0.25">
      <c r="B7" s="3" t="s">
        <v>2</v>
      </c>
      <c r="D7" s="126">
        <v>2</v>
      </c>
      <c r="E7" s="126"/>
    </row>
    <row r="8" spans="2:9" hidden="1" outlineLevel="1" x14ac:dyDescent="0.25">
      <c r="B8" s="3" t="s">
        <v>3</v>
      </c>
      <c r="D8" s="126">
        <v>8</v>
      </c>
      <c r="E8" s="126"/>
    </row>
    <row r="9" spans="2:9" ht="30.75" hidden="1" customHeight="1" outlineLevel="1" x14ac:dyDescent="0.25">
      <c r="B9" s="17" t="s">
        <v>4</v>
      </c>
      <c r="C9" s="63"/>
      <c r="D9" s="126" t="s">
        <v>52</v>
      </c>
      <c r="E9" s="126"/>
    </row>
    <row r="10" spans="2:9" collapsed="1" x14ac:dyDescent="0.25">
      <c r="B10" s="3" t="s">
        <v>5</v>
      </c>
      <c r="D10" s="126" t="s">
        <v>136</v>
      </c>
      <c r="E10" s="126"/>
      <c r="I10" s="12"/>
    </row>
    <row r="11" spans="2:9" hidden="1" outlineLevel="1" x14ac:dyDescent="0.25">
      <c r="B11" s="3" t="s">
        <v>6</v>
      </c>
      <c r="D11" s="126" t="s">
        <v>7</v>
      </c>
      <c r="E11" s="126"/>
    </row>
    <row r="12" spans="2:9" ht="30.75" hidden="1" customHeight="1" outlineLevel="1" x14ac:dyDescent="0.25">
      <c r="B12" s="17" t="s">
        <v>8</v>
      </c>
      <c r="C12" s="63"/>
      <c r="D12" s="138" t="s">
        <v>50</v>
      </c>
      <c r="E12" s="126"/>
      <c r="I12" s="12"/>
    </row>
    <row r="13" spans="2:9" ht="12" customHeight="1" collapsed="1" x14ac:dyDescent="0.25">
      <c r="B13" s="17"/>
      <c r="C13" s="63"/>
      <c r="D13" s="138"/>
      <c r="E13" s="126"/>
      <c r="I13" s="12"/>
    </row>
    <row r="14" spans="2:9" ht="16.5" thickBot="1" x14ac:dyDescent="0.3">
      <c r="B14" s="188" t="s">
        <v>157</v>
      </c>
      <c r="C14" s="188"/>
      <c r="D14" s="188"/>
      <c r="E14" s="188"/>
      <c r="F14" s="188"/>
      <c r="G14" s="188"/>
      <c r="H14" s="188"/>
      <c r="I14" s="12"/>
    </row>
    <row r="15" spans="2:9" ht="50.25" customHeight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  <c r="I15" s="12"/>
    </row>
    <row r="16" spans="2:9" x14ac:dyDescent="0.25">
      <c r="B16" s="111" t="s">
        <v>12</v>
      </c>
      <c r="C16" s="139">
        <v>397114.82</v>
      </c>
      <c r="D16" s="175"/>
      <c r="E16" s="143">
        <v>283844.96000000002</v>
      </c>
      <c r="F16" s="144"/>
      <c r="G16" s="143">
        <v>113269.86</v>
      </c>
      <c r="H16" s="145"/>
      <c r="I16" s="12"/>
    </row>
    <row r="17" spans="2:14" x14ac:dyDescent="0.25">
      <c r="B17" s="52" t="s">
        <v>13</v>
      </c>
      <c r="C17" s="141">
        <v>348776.33999999997</v>
      </c>
      <c r="D17" s="173"/>
      <c r="E17" s="141">
        <v>248549.05</v>
      </c>
      <c r="F17" s="142"/>
      <c r="G17" s="141">
        <v>100227.29000000001</v>
      </c>
      <c r="H17" s="146"/>
      <c r="I17" s="12"/>
    </row>
    <row r="18" spans="2:14" ht="16.5" thickBot="1" x14ac:dyDescent="0.3">
      <c r="B18" s="54" t="s">
        <v>87</v>
      </c>
      <c r="C18" s="147">
        <v>365293.60900000005</v>
      </c>
      <c r="D18" s="174"/>
      <c r="E18" s="150">
        <v>285073.60900000005</v>
      </c>
      <c r="F18" s="151"/>
      <c r="G18" s="150">
        <v>80220</v>
      </c>
      <c r="H18" s="152"/>
      <c r="I18" s="12"/>
    </row>
    <row r="19" spans="2:14" ht="36.75" thickBot="1" x14ac:dyDescent="0.3">
      <c r="B19" s="13" t="s">
        <v>149</v>
      </c>
      <c r="C19" s="156">
        <f>E19+G19</f>
        <v>-16517.269000000058</v>
      </c>
      <c r="D19" s="157"/>
      <c r="E19" s="154">
        <f>E17-E18</f>
        <v>-36524.559000000067</v>
      </c>
      <c r="F19" s="155"/>
      <c r="G19" s="154">
        <f>G17-G18</f>
        <v>20007.290000000008</v>
      </c>
      <c r="H19" s="158"/>
      <c r="I19" s="12"/>
    </row>
    <row r="20" spans="2:14" ht="12" customHeight="1" x14ac:dyDescent="0.25">
      <c r="B20" s="17"/>
      <c r="C20" s="63"/>
      <c r="D20" s="138"/>
      <c r="E20" s="126"/>
      <c r="I20" s="12"/>
    </row>
    <row r="21" spans="2:14" ht="24" customHeight="1" thickBot="1" x14ac:dyDescent="0.3">
      <c r="B21" s="193" t="s">
        <v>163</v>
      </c>
      <c r="C21" s="193"/>
      <c r="D21" s="193"/>
      <c r="E21" s="193"/>
      <c r="F21" s="193"/>
      <c r="G21" s="193"/>
      <c r="H21" s="193"/>
      <c r="I21" s="19"/>
      <c r="J21" s="19"/>
      <c r="L21" s="12"/>
      <c r="M21" s="195" t="s">
        <v>151</v>
      </c>
      <c r="N21" s="195" t="s">
        <v>152</v>
      </c>
    </row>
    <row r="22" spans="2:14" ht="27.75" customHeight="1" x14ac:dyDescent="0.25">
      <c r="B22" s="162" t="s">
        <v>101</v>
      </c>
      <c r="C22" s="164" t="s">
        <v>102</v>
      </c>
      <c r="D22" s="164" t="s">
        <v>103</v>
      </c>
      <c r="E22" s="166" t="s">
        <v>164</v>
      </c>
      <c r="F22" s="168" t="s">
        <v>104</v>
      </c>
      <c r="G22" s="169"/>
      <c r="H22" s="170" t="s">
        <v>123</v>
      </c>
      <c r="I22" s="20"/>
      <c r="J22" s="20"/>
      <c r="L22" s="12"/>
      <c r="M22" s="196"/>
      <c r="N22" s="196"/>
    </row>
    <row r="23" spans="2:14" ht="45" customHeight="1" thickBot="1" x14ac:dyDescent="0.3">
      <c r="B23" s="163"/>
      <c r="C23" s="165"/>
      <c r="D23" s="165"/>
      <c r="E23" s="167"/>
      <c r="F23" s="21" t="s">
        <v>92</v>
      </c>
      <c r="G23" s="22" t="s">
        <v>93</v>
      </c>
      <c r="H23" s="171"/>
      <c r="I23" s="20"/>
      <c r="J23" s="20"/>
      <c r="M23" s="197">
        <v>45384.34</v>
      </c>
      <c r="N23" s="197">
        <f>45384.34*1.01</f>
        <v>45838.183399999994</v>
      </c>
    </row>
    <row r="24" spans="2:14" ht="50.25" customHeight="1" x14ac:dyDescent="0.25">
      <c r="B24" s="23" t="s">
        <v>105</v>
      </c>
      <c r="C24" s="7" t="s">
        <v>121</v>
      </c>
      <c r="D24" s="24" t="s">
        <v>107</v>
      </c>
      <c r="E24" s="25">
        <v>1.06</v>
      </c>
      <c r="F24" s="26">
        <f>$M$23/$M$24*E24</f>
        <v>4616.8330518234161</v>
      </c>
      <c r="G24" s="27">
        <f>$N$23/$N$24*E24</f>
        <v>4663.0013823416502</v>
      </c>
      <c r="H24" s="28">
        <f>F24-G24</f>
        <v>-46.168330518234143</v>
      </c>
      <c r="I24" s="29"/>
      <c r="J24" s="29"/>
      <c r="K24" s="134"/>
      <c r="L24" s="31"/>
      <c r="M24" s="198">
        <f>E33-E31</f>
        <v>10.42</v>
      </c>
      <c r="N24" s="198">
        <f>E33-E31</f>
        <v>10.42</v>
      </c>
    </row>
    <row r="25" spans="2:14" ht="56.25" x14ac:dyDescent="0.25">
      <c r="B25" s="32" t="s">
        <v>99</v>
      </c>
      <c r="C25" s="7" t="s">
        <v>121</v>
      </c>
      <c r="D25" s="24" t="s">
        <v>107</v>
      </c>
      <c r="E25" s="8">
        <v>1.19</v>
      </c>
      <c r="F25" s="26">
        <f t="shared" ref="F25:F32" si="0">$M$23/$M$24*E25</f>
        <v>5183.0484261036463</v>
      </c>
      <c r="G25" s="27">
        <f t="shared" ref="G25:G29" si="1">$N$23/$N$24*E25</f>
        <v>5234.8789103646823</v>
      </c>
      <c r="H25" s="28">
        <f t="shared" ref="H25:H30" si="2">F25-G25</f>
        <v>-51.830484261035963</v>
      </c>
      <c r="I25" s="29"/>
      <c r="J25" s="29"/>
      <c r="K25" s="2"/>
      <c r="L25" s="2"/>
      <c r="M25" s="199"/>
      <c r="N25" s="199"/>
    </row>
    <row r="26" spans="2:14" ht="52.5" customHeight="1" x14ac:dyDescent="0.25">
      <c r="B26" s="33" t="s">
        <v>94</v>
      </c>
      <c r="C26" s="7" t="s">
        <v>121</v>
      </c>
      <c r="D26" s="24" t="s">
        <v>107</v>
      </c>
      <c r="E26" s="8">
        <v>0.32</v>
      </c>
      <c r="F26" s="26">
        <f t="shared" si="0"/>
        <v>1393.7609213051824</v>
      </c>
      <c r="G26" s="27">
        <f t="shared" si="1"/>
        <v>1407.6985305182338</v>
      </c>
      <c r="H26" s="28">
        <f t="shared" si="2"/>
        <v>-13.937609213051473</v>
      </c>
      <c r="I26" s="29"/>
      <c r="J26" s="29"/>
      <c r="L26" s="12"/>
    </row>
    <row r="27" spans="2:14" ht="25.5" x14ac:dyDescent="0.25">
      <c r="B27" s="33" t="s">
        <v>108</v>
      </c>
      <c r="C27" s="34" t="s">
        <v>109</v>
      </c>
      <c r="D27" s="24" t="s">
        <v>107</v>
      </c>
      <c r="E27" s="8">
        <v>0.5</v>
      </c>
      <c r="F27" s="26">
        <f>($M$23/12*2)/$M$24*E27</f>
        <v>362.95857325655788</v>
      </c>
      <c r="G27" s="27">
        <f>($N$23/12*2)/$N$24*E27</f>
        <v>366.58815898912343</v>
      </c>
      <c r="H27" s="28">
        <f t="shared" si="2"/>
        <v>-3.6295857325655447</v>
      </c>
      <c r="I27" s="29"/>
      <c r="J27" s="29"/>
      <c r="L27" s="12"/>
    </row>
    <row r="28" spans="2:14" ht="51" x14ac:dyDescent="0.25">
      <c r="B28" s="32" t="s">
        <v>95</v>
      </c>
      <c r="C28" s="7" t="s">
        <v>122</v>
      </c>
      <c r="D28" s="24" t="s">
        <v>107</v>
      </c>
      <c r="E28" s="8">
        <v>1.18</v>
      </c>
      <c r="F28" s="26">
        <f t="shared" si="0"/>
        <v>5139.4933973128591</v>
      </c>
      <c r="G28" s="27">
        <f t="shared" si="1"/>
        <v>5190.8883312859871</v>
      </c>
      <c r="H28" s="28">
        <f t="shared" si="2"/>
        <v>-51.394933973127991</v>
      </c>
      <c r="I28" s="29"/>
      <c r="J28" s="29"/>
    </row>
    <row r="29" spans="2:14" ht="234" customHeight="1" x14ac:dyDescent="0.25">
      <c r="B29" s="32" t="s">
        <v>120</v>
      </c>
      <c r="C29" s="35" t="s">
        <v>110</v>
      </c>
      <c r="D29" s="24" t="s">
        <v>107</v>
      </c>
      <c r="E29" s="8">
        <v>5.61</v>
      </c>
      <c r="F29" s="26">
        <f t="shared" si="0"/>
        <v>24434.37115163148</v>
      </c>
      <c r="G29" s="27">
        <f t="shared" si="1"/>
        <v>24678.71486314779</v>
      </c>
      <c r="H29" s="28">
        <f t="shared" si="2"/>
        <v>-244.34371151631058</v>
      </c>
      <c r="I29" s="29"/>
      <c r="J29" s="29"/>
      <c r="K29" s="2"/>
      <c r="L29" s="1"/>
      <c r="M29" s="199"/>
      <c r="N29" s="199"/>
    </row>
    <row r="30" spans="2:14" ht="118.5" customHeight="1" x14ac:dyDescent="0.25">
      <c r="B30" s="32" t="s">
        <v>111</v>
      </c>
      <c r="C30" s="7" t="s">
        <v>121</v>
      </c>
      <c r="D30" s="24" t="s">
        <v>107</v>
      </c>
      <c r="E30" s="8">
        <v>0.24</v>
      </c>
      <c r="F30" s="26">
        <f t="shared" si="0"/>
        <v>1045.3206909788867</v>
      </c>
      <c r="G30" s="27">
        <f t="shared" ref="G30" si="3">$N$23/$N$24*E30</f>
        <v>1055.7738978886755</v>
      </c>
      <c r="H30" s="28">
        <f t="shared" si="2"/>
        <v>-10.453206909788832</v>
      </c>
      <c r="I30" s="29"/>
      <c r="J30" s="29"/>
    </row>
    <row r="31" spans="2:14" ht="56.25" x14ac:dyDescent="0.25">
      <c r="B31" s="33" t="s">
        <v>112</v>
      </c>
      <c r="C31" s="7" t="s">
        <v>121</v>
      </c>
      <c r="D31" s="24" t="s">
        <v>107</v>
      </c>
      <c r="E31" s="8">
        <v>0</v>
      </c>
      <c r="F31" s="26">
        <v>0</v>
      </c>
      <c r="G31" s="5">
        <v>2062</v>
      </c>
      <c r="H31" s="28">
        <f>F31-G31</f>
        <v>-2062</v>
      </c>
      <c r="I31" s="29"/>
      <c r="J31" s="29"/>
      <c r="L31" s="12"/>
    </row>
    <row r="32" spans="2:14" ht="16.5" thickBot="1" x14ac:dyDescent="0.3">
      <c r="B32" s="36" t="s">
        <v>97</v>
      </c>
      <c r="C32" s="37" t="s">
        <v>110</v>
      </c>
      <c r="D32" s="38" t="s">
        <v>107</v>
      </c>
      <c r="E32" s="39">
        <v>0.32</v>
      </c>
      <c r="F32" s="26">
        <f t="shared" si="0"/>
        <v>1393.7609213051824</v>
      </c>
      <c r="G32" s="27">
        <f t="shared" ref="G32" si="4">$N$23/$N$24*E32</f>
        <v>1407.6985305182338</v>
      </c>
      <c r="H32" s="40">
        <f>F32-G32</f>
        <v>-13.937609213051473</v>
      </c>
      <c r="I32" s="29"/>
      <c r="J32" s="29"/>
    </row>
    <row r="33" spans="2:14" ht="16.5" thickBot="1" x14ac:dyDescent="0.3">
      <c r="B33" s="41" t="s">
        <v>98</v>
      </c>
      <c r="C33" s="42"/>
      <c r="D33" s="42"/>
      <c r="E33" s="43">
        <f>SUM(E24:E32)</f>
        <v>10.42</v>
      </c>
      <c r="F33" s="44">
        <f>SUM(F24:F32)</f>
        <v>43569.547133717213</v>
      </c>
      <c r="G33" s="45">
        <f>SUM(G24:G32)</f>
        <v>46067.242605054373</v>
      </c>
      <c r="H33" s="46">
        <f>SUM(H24:H32)</f>
        <v>-2497.6954713371661</v>
      </c>
      <c r="I33" s="47"/>
      <c r="J33" s="47"/>
    </row>
    <row r="34" spans="2:14" x14ac:dyDescent="0.25">
      <c r="B34" s="12"/>
      <c r="C34" s="12"/>
      <c r="D34" s="12"/>
      <c r="E34" s="135"/>
      <c r="F34" s="135"/>
      <c r="G34" s="135"/>
      <c r="H34" s="136"/>
      <c r="I34" s="136"/>
      <c r="J34" s="136"/>
    </row>
    <row r="35" spans="2:14" ht="16.5" customHeight="1" thickBot="1" x14ac:dyDescent="0.3">
      <c r="B35" s="188" t="s">
        <v>165</v>
      </c>
      <c r="C35" s="188"/>
      <c r="D35" s="188"/>
      <c r="E35" s="188"/>
      <c r="F35" s="188"/>
      <c r="G35" s="188"/>
      <c r="H35" s="188"/>
      <c r="I35" s="48"/>
      <c r="J35" s="48"/>
    </row>
    <row r="36" spans="2:14" ht="44.25" customHeight="1" thickBot="1" x14ac:dyDescent="0.3">
      <c r="B36" s="110" t="s">
        <v>166</v>
      </c>
      <c r="C36" s="186" t="s">
        <v>113</v>
      </c>
      <c r="D36" s="187"/>
      <c r="E36" s="181" t="s">
        <v>10</v>
      </c>
      <c r="F36" s="189"/>
      <c r="G36" s="181" t="s">
        <v>11</v>
      </c>
      <c r="H36" s="182"/>
      <c r="I36" s="49"/>
      <c r="J36" s="49"/>
      <c r="K36" s="50"/>
      <c r="L36" s="51"/>
      <c r="M36" s="200"/>
      <c r="N36" s="200"/>
    </row>
    <row r="37" spans="2:14" x14ac:dyDescent="0.25">
      <c r="B37" s="111" t="s">
        <v>12</v>
      </c>
      <c r="C37" s="139">
        <f>E37+G37</f>
        <v>440684.36713371723</v>
      </c>
      <c r="D37" s="140"/>
      <c r="E37" s="143">
        <f>F24+F25+F26+F27+F28+F29+F30+F32+E16</f>
        <v>327414.50713371724</v>
      </c>
      <c r="F37" s="144"/>
      <c r="G37" s="143">
        <f>F31+G16</f>
        <v>113269.86</v>
      </c>
      <c r="H37" s="145"/>
      <c r="I37" s="53"/>
      <c r="J37" s="53"/>
      <c r="K37" s="9"/>
      <c r="L37" s="9"/>
      <c r="M37" s="201"/>
    </row>
    <row r="38" spans="2:14" x14ac:dyDescent="0.25">
      <c r="B38" s="52" t="s">
        <v>13</v>
      </c>
      <c r="C38" s="141">
        <f>E38+G38</f>
        <v>381584.56999999995</v>
      </c>
      <c r="D38" s="142"/>
      <c r="E38" s="141">
        <f>E17+32808.23</f>
        <v>281357.27999999997</v>
      </c>
      <c r="F38" s="142"/>
      <c r="G38" s="141">
        <f>G17</f>
        <v>100227.29000000001</v>
      </c>
      <c r="H38" s="146"/>
      <c r="I38" s="53"/>
      <c r="J38" s="53"/>
      <c r="K38" s="11"/>
      <c r="L38" s="9"/>
      <c r="M38" s="201"/>
    </row>
    <row r="39" spans="2:14" ht="16.5" thickBot="1" x14ac:dyDescent="0.3">
      <c r="B39" s="54" t="s">
        <v>87</v>
      </c>
      <c r="C39" s="147">
        <f>E39+G39</f>
        <v>411360.85160505446</v>
      </c>
      <c r="D39" s="148"/>
      <c r="E39" s="150">
        <f>G24+G25+G26+G27+G28+G29+G30+G32+E18</f>
        <v>329078.85160505446</v>
      </c>
      <c r="F39" s="151"/>
      <c r="G39" s="150">
        <f>G31+G18</f>
        <v>82282</v>
      </c>
      <c r="H39" s="152"/>
      <c r="I39" s="53"/>
      <c r="J39" s="53"/>
      <c r="K39" s="55"/>
      <c r="L39" s="55"/>
    </row>
    <row r="40" spans="2:14" ht="25.5" thickBot="1" x14ac:dyDescent="0.3">
      <c r="B40" s="13" t="s">
        <v>150</v>
      </c>
      <c r="C40" s="156">
        <f>E40+G40</f>
        <v>-29776.281605054479</v>
      </c>
      <c r="D40" s="157"/>
      <c r="E40" s="154">
        <f>E38-E39</f>
        <v>-47721.571605054487</v>
      </c>
      <c r="F40" s="155"/>
      <c r="G40" s="154">
        <f>G38-G39</f>
        <v>17945.290000000008</v>
      </c>
      <c r="H40" s="158"/>
      <c r="I40" s="53"/>
      <c r="J40" s="53"/>
      <c r="K40" s="55"/>
      <c r="L40" s="55"/>
    </row>
    <row r="41" spans="2:14" ht="34.5" customHeight="1" x14ac:dyDescent="0.25">
      <c r="B41" s="128" t="s">
        <v>88</v>
      </c>
      <c r="C41" s="149" t="s">
        <v>155</v>
      </c>
      <c r="D41" s="149"/>
      <c r="E41" s="149"/>
      <c r="F41" s="153" t="s">
        <v>14</v>
      </c>
      <c r="G41" s="153"/>
      <c r="H41" s="128"/>
      <c r="I41" s="128"/>
      <c r="J41" s="128"/>
      <c r="K41" s="2"/>
      <c r="L41" s="2"/>
      <c r="M41" s="199"/>
      <c r="N41" s="199"/>
    </row>
    <row r="42" spans="2:14" ht="11.25" customHeight="1" x14ac:dyDescent="0.25">
      <c r="B42" s="128"/>
      <c r="C42" s="128"/>
      <c r="D42" s="128"/>
      <c r="E42" s="127"/>
      <c r="F42" s="160"/>
      <c r="G42" s="160"/>
      <c r="H42" s="129"/>
      <c r="I42" s="129"/>
      <c r="J42" s="129"/>
      <c r="K42" s="2"/>
      <c r="L42" s="2"/>
      <c r="M42" s="199"/>
      <c r="N42" s="199"/>
    </row>
    <row r="43" spans="2:14" x14ac:dyDescent="0.25">
      <c r="B43" s="128" t="s">
        <v>89</v>
      </c>
      <c r="C43" s="149" t="s">
        <v>155</v>
      </c>
      <c r="D43" s="149"/>
      <c r="E43" s="149"/>
      <c r="F43" s="153" t="s">
        <v>100</v>
      </c>
      <c r="G43" s="153"/>
      <c r="H43" s="128"/>
      <c r="I43" s="128"/>
      <c r="J43" s="128"/>
      <c r="K43" s="2"/>
      <c r="L43" s="2"/>
      <c r="M43" s="199"/>
      <c r="N43" s="199"/>
    </row>
    <row r="44" spans="2:14" ht="9.75" customHeight="1" x14ac:dyDescent="0.25">
      <c r="B44" s="128"/>
      <c r="C44" s="128"/>
      <c r="D44" s="128"/>
      <c r="E44" s="127"/>
      <c r="F44" s="153"/>
      <c r="G44" s="153"/>
      <c r="H44" s="128"/>
      <c r="I44" s="128"/>
      <c r="J44" s="128"/>
    </row>
    <row r="45" spans="2:14" x14ac:dyDescent="0.25">
      <c r="B45" s="128" t="s">
        <v>90</v>
      </c>
      <c r="C45" s="149" t="s">
        <v>155</v>
      </c>
      <c r="D45" s="149"/>
      <c r="E45" s="149"/>
      <c r="F45" s="153" t="s">
        <v>114</v>
      </c>
      <c r="G45" s="153"/>
      <c r="H45" s="128"/>
      <c r="I45" s="128"/>
      <c r="J45" s="128"/>
    </row>
    <row r="46" spans="2:14" ht="8.25" customHeight="1" x14ac:dyDescent="0.25">
      <c r="B46" s="56"/>
      <c r="C46" s="56"/>
      <c r="D46" s="56"/>
      <c r="E46" s="127"/>
      <c r="F46" s="57"/>
      <c r="G46" s="58"/>
      <c r="H46" s="59"/>
      <c r="I46" s="59"/>
      <c r="J46" s="59"/>
    </row>
    <row r="47" spans="2:14" x14ac:dyDescent="0.25">
      <c r="B47" s="128" t="s">
        <v>91</v>
      </c>
      <c r="C47" s="149" t="s">
        <v>155</v>
      </c>
      <c r="D47" s="149"/>
      <c r="E47" s="149"/>
      <c r="F47" s="153" t="s">
        <v>114</v>
      </c>
      <c r="G47" s="153"/>
    </row>
    <row r="48" spans="2:14" ht="9" customHeight="1" x14ac:dyDescent="0.25">
      <c r="B48" s="60"/>
      <c r="C48" s="60"/>
      <c r="D48" s="60"/>
      <c r="E48" s="127"/>
      <c r="F48" s="159"/>
      <c r="G48" s="159"/>
    </row>
    <row r="49" spans="3:3" x14ac:dyDescent="0.25">
      <c r="C49" s="75"/>
    </row>
    <row r="50" spans="3:3" x14ac:dyDescent="0.25">
      <c r="C50" s="75"/>
    </row>
    <row r="51" spans="3:3" x14ac:dyDescent="0.25">
      <c r="C51" s="75"/>
    </row>
  </sheetData>
  <mergeCells count="55">
    <mergeCell ref="C38:D38"/>
    <mergeCell ref="C39:D39"/>
    <mergeCell ref="C40:D40"/>
    <mergeCell ref="M21:M22"/>
    <mergeCell ref="E40:F40"/>
    <mergeCell ref="E36:F36"/>
    <mergeCell ref="E37:F37"/>
    <mergeCell ref="B35:H35"/>
    <mergeCell ref="G36:H36"/>
    <mergeCell ref="G37:H37"/>
    <mergeCell ref="C36:D36"/>
    <mergeCell ref="C19:D19"/>
    <mergeCell ref="E19:F19"/>
    <mergeCell ref="G19:H19"/>
    <mergeCell ref="N21:N22"/>
    <mergeCell ref="C37:D37"/>
    <mergeCell ref="G16:H16"/>
    <mergeCell ref="C17:D17"/>
    <mergeCell ref="E17:F17"/>
    <mergeCell ref="G17:H17"/>
    <mergeCell ref="C18:D18"/>
    <mergeCell ref="E18:F18"/>
    <mergeCell ref="G18:H18"/>
    <mergeCell ref="F47:G47"/>
    <mergeCell ref="F48:G48"/>
    <mergeCell ref="E38:F38"/>
    <mergeCell ref="G38:H38"/>
    <mergeCell ref="G39:H39"/>
    <mergeCell ref="G40:H40"/>
    <mergeCell ref="F41:G41"/>
    <mergeCell ref="E39:F39"/>
    <mergeCell ref="F42:G42"/>
    <mergeCell ref="F43:G43"/>
    <mergeCell ref="F44:G44"/>
    <mergeCell ref="F45:G45"/>
    <mergeCell ref="C41:E41"/>
    <mergeCell ref="C43:E43"/>
    <mergeCell ref="C45:E45"/>
    <mergeCell ref="C47:E47"/>
    <mergeCell ref="B1:H1"/>
    <mergeCell ref="B21:H21"/>
    <mergeCell ref="B22:B23"/>
    <mergeCell ref="C22:C23"/>
    <mergeCell ref="D22:D23"/>
    <mergeCell ref="E22:E23"/>
    <mergeCell ref="F22:G22"/>
    <mergeCell ref="H22:H23"/>
    <mergeCell ref="B2:H3"/>
    <mergeCell ref="D5:E5"/>
    <mergeCell ref="B14:H14"/>
    <mergeCell ref="C15:D15"/>
    <mergeCell ref="E15:F15"/>
    <mergeCell ref="G15:H15"/>
    <mergeCell ref="C16:D16"/>
    <mergeCell ref="E16:F16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48"/>
  <sheetViews>
    <sheetView topLeftCell="A6" zoomScale="110" zoomScaleNormal="110" workbookViewId="0">
      <selection activeCell="B21" sqref="B21:H21"/>
    </sheetView>
  </sheetViews>
  <sheetFormatPr defaultColWidth="9.140625" defaultRowHeight="15.75" outlineLevelRow="1" x14ac:dyDescent="0.25"/>
  <cols>
    <col min="1" max="1" width="2.85546875" style="3" customWidth="1"/>
    <col min="2" max="2" width="56" style="3" customWidth="1"/>
    <col min="3" max="3" width="21" style="75" customWidth="1"/>
    <col min="4" max="4" width="10.5703125" style="136" customWidth="1"/>
    <col min="5" max="5" width="10.28515625" style="136" customWidth="1"/>
    <col min="6" max="6" width="10" style="3" customWidth="1"/>
    <col min="7" max="7" width="10.28515625" style="3" customWidth="1"/>
    <col min="8" max="8" width="10.7109375" style="3" customWidth="1"/>
    <col min="9" max="9" width="11.140625" style="3" bestFit="1" customWidth="1"/>
    <col min="10" max="12" width="9.140625" style="3"/>
    <col min="13" max="13" width="13.85546875" style="194" customWidth="1"/>
    <col min="14" max="14" width="15.28515625" style="194" customWidth="1"/>
    <col min="15" max="16384" width="9.140625" style="3"/>
  </cols>
  <sheetData>
    <row r="1" spans="2:8" x14ac:dyDescent="0.25">
      <c r="B1" s="161" t="s">
        <v>116</v>
      </c>
      <c r="C1" s="161"/>
      <c r="D1" s="161"/>
      <c r="E1" s="161"/>
      <c r="F1" s="161"/>
      <c r="G1" s="161"/>
      <c r="H1" s="161"/>
    </row>
    <row r="2" spans="2:8" ht="19.5" customHeight="1" x14ac:dyDescent="0.25">
      <c r="B2" s="185" t="s">
        <v>162</v>
      </c>
      <c r="C2" s="185"/>
      <c r="D2" s="185"/>
      <c r="E2" s="185"/>
      <c r="F2" s="185"/>
      <c r="G2" s="185"/>
      <c r="H2" s="185"/>
    </row>
    <row r="3" spans="2:8" ht="16.5" customHeight="1" x14ac:dyDescent="0.25">
      <c r="B3" s="185"/>
      <c r="C3" s="185"/>
      <c r="D3" s="185"/>
      <c r="E3" s="185"/>
      <c r="F3" s="185"/>
      <c r="G3" s="185"/>
      <c r="H3" s="185"/>
    </row>
    <row r="4" spans="2:8" ht="12.75" customHeight="1" x14ac:dyDescent="0.25"/>
    <row r="5" spans="2:8" x14ac:dyDescent="0.25">
      <c r="B5" s="3" t="s">
        <v>0</v>
      </c>
      <c r="D5" s="172" t="s">
        <v>53</v>
      </c>
      <c r="E5" s="172"/>
    </row>
    <row r="6" spans="2:8" x14ac:dyDescent="0.25">
      <c r="B6" s="3" t="s">
        <v>1</v>
      </c>
      <c r="D6" s="126">
        <v>1957</v>
      </c>
      <c r="E6" s="126"/>
    </row>
    <row r="7" spans="2:8" hidden="1" outlineLevel="1" x14ac:dyDescent="0.25">
      <c r="B7" s="3" t="s">
        <v>2</v>
      </c>
      <c r="D7" s="126">
        <v>2</v>
      </c>
      <c r="E7" s="126"/>
    </row>
    <row r="8" spans="2:8" hidden="1" outlineLevel="1" x14ac:dyDescent="0.25">
      <c r="B8" s="3" t="s">
        <v>3</v>
      </c>
      <c r="D8" s="126">
        <v>13</v>
      </c>
      <c r="E8" s="126"/>
    </row>
    <row r="9" spans="2:8" ht="30.75" hidden="1" customHeight="1" outlineLevel="1" x14ac:dyDescent="0.25">
      <c r="B9" s="17" t="s">
        <v>4</v>
      </c>
      <c r="C9" s="76"/>
      <c r="D9" s="126" t="s">
        <v>54</v>
      </c>
      <c r="E9" s="126"/>
    </row>
    <row r="10" spans="2:8" collapsed="1" x14ac:dyDescent="0.25">
      <c r="B10" s="3" t="s">
        <v>5</v>
      </c>
      <c r="D10" s="126" t="s">
        <v>137</v>
      </c>
      <c r="E10" s="126"/>
      <c r="H10" s="12"/>
    </row>
    <row r="11" spans="2:8" hidden="1" outlineLevel="1" x14ac:dyDescent="0.25">
      <c r="B11" s="3" t="s">
        <v>6</v>
      </c>
      <c r="D11" s="126" t="s">
        <v>7</v>
      </c>
      <c r="E11" s="126"/>
    </row>
    <row r="12" spans="2:8" ht="30.75" hidden="1" customHeight="1" outlineLevel="1" x14ac:dyDescent="0.25">
      <c r="B12" s="17" t="s">
        <v>8</v>
      </c>
      <c r="C12" s="76"/>
      <c r="D12" s="138" t="s">
        <v>55</v>
      </c>
      <c r="E12" s="126"/>
      <c r="H12" s="12"/>
    </row>
    <row r="13" spans="2:8" ht="12.75" customHeight="1" collapsed="1" x14ac:dyDescent="0.25">
      <c r="B13" s="17"/>
      <c r="C13" s="76"/>
      <c r="D13" s="138"/>
      <c r="E13" s="126"/>
      <c r="H13" s="12"/>
    </row>
    <row r="14" spans="2:8" ht="16.5" thickBot="1" x14ac:dyDescent="0.3">
      <c r="B14" s="188" t="s">
        <v>157</v>
      </c>
      <c r="C14" s="188"/>
      <c r="D14" s="188"/>
      <c r="E14" s="188"/>
      <c r="F14" s="188"/>
      <c r="G14" s="188"/>
      <c r="H14" s="188"/>
    </row>
    <row r="15" spans="2:8" ht="48.75" customHeight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</row>
    <row r="16" spans="2:8" x14ac:dyDescent="0.25">
      <c r="B16" s="111" t="s">
        <v>12</v>
      </c>
      <c r="C16" s="139">
        <v>572062.76</v>
      </c>
      <c r="D16" s="175"/>
      <c r="E16" s="143">
        <v>403557.23000000004</v>
      </c>
      <c r="F16" s="144"/>
      <c r="G16" s="143">
        <v>168505.53</v>
      </c>
      <c r="H16" s="145"/>
    </row>
    <row r="17" spans="2:14" x14ac:dyDescent="0.25">
      <c r="B17" s="52" t="s">
        <v>13</v>
      </c>
      <c r="C17" s="141">
        <v>514787.88</v>
      </c>
      <c r="D17" s="173"/>
      <c r="E17" s="141">
        <v>363265.37</v>
      </c>
      <c r="F17" s="142"/>
      <c r="G17" s="141">
        <v>151522.50999999998</v>
      </c>
      <c r="H17" s="146"/>
    </row>
    <row r="18" spans="2:14" ht="16.5" thickBot="1" x14ac:dyDescent="0.3">
      <c r="B18" s="54" t="s">
        <v>87</v>
      </c>
      <c r="C18" s="147">
        <v>657759.65999999992</v>
      </c>
      <c r="D18" s="174"/>
      <c r="E18" s="150">
        <v>482338.66</v>
      </c>
      <c r="F18" s="151"/>
      <c r="G18" s="150">
        <v>175421</v>
      </c>
      <c r="H18" s="152"/>
    </row>
    <row r="19" spans="2:14" ht="32.25" customHeight="1" thickBot="1" x14ac:dyDescent="0.3">
      <c r="B19" s="13" t="s">
        <v>149</v>
      </c>
      <c r="C19" s="156">
        <f>E19+G19</f>
        <v>-142971.78</v>
      </c>
      <c r="D19" s="157"/>
      <c r="E19" s="154">
        <f>E17-E18</f>
        <v>-119073.28999999998</v>
      </c>
      <c r="F19" s="155"/>
      <c r="G19" s="154">
        <f>G17-G18</f>
        <v>-23898.49000000002</v>
      </c>
      <c r="H19" s="158"/>
    </row>
    <row r="20" spans="2:14" x14ac:dyDescent="0.25">
      <c r="B20" s="17"/>
      <c r="C20" s="76"/>
      <c r="D20" s="138"/>
      <c r="E20" s="126"/>
      <c r="H20" s="12"/>
    </row>
    <row r="21" spans="2:14" ht="19.5" customHeight="1" thickBot="1" x14ac:dyDescent="0.3">
      <c r="B21" s="193" t="s">
        <v>163</v>
      </c>
      <c r="C21" s="193"/>
      <c r="D21" s="193"/>
      <c r="E21" s="193"/>
      <c r="F21" s="193"/>
      <c r="G21" s="193"/>
      <c r="H21" s="193"/>
      <c r="I21" s="19"/>
      <c r="J21" s="19"/>
      <c r="L21" s="12"/>
      <c r="M21" s="195" t="s">
        <v>151</v>
      </c>
      <c r="N21" s="195" t="s">
        <v>152</v>
      </c>
    </row>
    <row r="22" spans="2:14" ht="27.75" customHeight="1" x14ac:dyDescent="0.25">
      <c r="B22" s="162" t="s">
        <v>101</v>
      </c>
      <c r="C22" s="164" t="s">
        <v>102</v>
      </c>
      <c r="D22" s="164" t="s">
        <v>103</v>
      </c>
      <c r="E22" s="166" t="s">
        <v>164</v>
      </c>
      <c r="F22" s="168" t="s">
        <v>104</v>
      </c>
      <c r="G22" s="169"/>
      <c r="H22" s="170" t="s">
        <v>123</v>
      </c>
      <c r="I22" s="20"/>
      <c r="J22" s="20"/>
      <c r="L22" s="12"/>
      <c r="M22" s="196"/>
      <c r="N22" s="196"/>
    </row>
    <row r="23" spans="2:14" ht="45" customHeight="1" thickBot="1" x14ac:dyDescent="0.3">
      <c r="B23" s="163"/>
      <c r="C23" s="165"/>
      <c r="D23" s="165"/>
      <c r="E23" s="167"/>
      <c r="F23" s="21" t="s">
        <v>92</v>
      </c>
      <c r="G23" s="22" t="s">
        <v>93</v>
      </c>
      <c r="H23" s="171"/>
      <c r="I23" s="20"/>
      <c r="J23" s="20"/>
      <c r="M23" s="197">
        <v>71564.5</v>
      </c>
      <c r="N23" s="197">
        <f>M23*1.01</f>
        <v>72280.145000000004</v>
      </c>
    </row>
    <row r="24" spans="2:14" ht="50.25" customHeight="1" x14ac:dyDescent="0.25">
      <c r="B24" s="23" t="s">
        <v>105</v>
      </c>
      <c r="C24" s="7" t="s">
        <v>121</v>
      </c>
      <c r="D24" s="24" t="s">
        <v>107</v>
      </c>
      <c r="E24" s="25">
        <v>1.06</v>
      </c>
      <c r="F24" s="26">
        <f>$M$23/$M$24*E24</f>
        <v>7210.8716730038032</v>
      </c>
      <c r="G24" s="27">
        <f>$N$23/$N$24*E24</f>
        <v>7282.9803897338415</v>
      </c>
      <c r="H24" s="28">
        <f>F24-G24</f>
        <v>-72.108716730038395</v>
      </c>
      <c r="I24" s="29"/>
      <c r="J24" s="29"/>
      <c r="K24" s="134"/>
      <c r="L24" s="31"/>
      <c r="M24" s="198">
        <f>E33-E31</f>
        <v>10.52</v>
      </c>
      <c r="N24" s="198">
        <f>E33-E31</f>
        <v>10.52</v>
      </c>
    </row>
    <row r="25" spans="2:14" ht="56.25" x14ac:dyDescent="0.25">
      <c r="B25" s="32" t="s">
        <v>99</v>
      </c>
      <c r="C25" s="7" t="s">
        <v>121</v>
      </c>
      <c r="D25" s="24" t="s">
        <v>107</v>
      </c>
      <c r="E25" s="8">
        <v>1.19</v>
      </c>
      <c r="F25" s="26">
        <f t="shared" ref="F25:F32" si="0">$M$23/$M$24*E25</f>
        <v>8095.2238593155898</v>
      </c>
      <c r="G25" s="27">
        <f t="shared" ref="G25:G29" si="1">$N$23/$N$24*E25</f>
        <v>8176.1760979087458</v>
      </c>
      <c r="H25" s="28">
        <f t="shared" ref="H25:H30" si="2">F25-G25</f>
        <v>-80.952238593155926</v>
      </c>
      <c r="I25" s="29"/>
      <c r="J25" s="29"/>
      <c r="K25" s="2"/>
      <c r="L25" s="2"/>
      <c r="M25" s="199"/>
      <c r="N25" s="199"/>
    </row>
    <row r="26" spans="2:14" ht="52.5" customHeight="1" x14ac:dyDescent="0.25">
      <c r="B26" s="33" t="s">
        <v>94</v>
      </c>
      <c r="C26" s="7" t="s">
        <v>121</v>
      </c>
      <c r="D26" s="24" t="s">
        <v>107</v>
      </c>
      <c r="E26" s="8">
        <v>0.32</v>
      </c>
      <c r="F26" s="26">
        <f t="shared" si="0"/>
        <v>2176.8669201520916</v>
      </c>
      <c r="G26" s="27">
        <f t="shared" si="1"/>
        <v>2198.6355893536124</v>
      </c>
      <c r="H26" s="28">
        <f t="shared" si="2"/>
        <v>-21.768669201520879</v>
      </c>
      <c r="I26" s="29"/>
      <c r="J26" s="29"/>
      <c r="L26" s="12"/>
    </row>
    <row r="27" spans="2:14" ht="25.5" x14ac:dyDescent="0.25">
      <c r="B27" s="33" t="s">
        <v>108</v>
      </c>
      <c r="C27" s="34" t="s">
        <v>109</v>
      </c>
      <c r="D27" s="24" t="s">
        <v>107</v>
      </c>
      <c r="E27" s="8">
        <v>0.5</v>
      </c>
      <c r="F27" s="26">
        <f>($M$23/12*2)/$M$24*E27</f>
        <v>566.89242712294038</v>
      </c>
      <c r="G27" s="27">
        <f>($N$23/12*2)/$N$24*E27</f>
        <v>572.56135139416995</v>
      </c>
      <c r="H27" s="28">
        <f t="shared" si="2"/>
        <v>-5.6689242712295709</v>
      </c>
      <c r="I27" s="29"/>
      <c r="J27" s="29"/>
      <c r="L27" s="12"/>
    </row>
    <row r="28" spans="2:14" ht="51" x14ac:dyDescent="0.25">
      <c r="B28" s="32" t="s">
        <v>95</v>
      </c>
      <c r="C28" s="7" t="s">
        <v>122</v>
      </c>
      <c r="D28" s="24" t="s">
        <v>107</v>
      </c>
      <c r="E28" s="8">
        <v>1.18</v>
      </c>
      <c r="F28" s="26">
        <f t="shared" si="0"/>
        <v>8027.1967680608368</v>
      </c>
      <c r="G28" s="27">
        <f t="shared" si="1"/>
        <v>8107.4687357414459</v>
      </c>
      <c r="H28" s="28">
        <f t="shared" si="2"/>
        <v>-80.271967680609123</v>
      </c>
      <c r="I28" s="29"/>
      <c r="J28" s="29"/>
    </row>
    <row r="29" spans="2:14" ht="228.75" customHeight="1" x14ac:dyDescent="0.25">
      <c r="B29" s="32" t="s">
        <v>120</v>
      </c>
      <c r="C29" s="35" t="s">
        <v>110</v>
      </c>
      <c r="D29" s="24" t="s">
        <v>107</v>
      </c>
      <c r="E29" s="8">
        <v>5.61</v>
      </c>
      <c r="F29" s="26">
        <f t="shared" si="0"/>
        <v>38163.198193916352</v>
      </c>
      <c r="G29" s="27">
        <f t="shared" si="1"/>
        <v>38544.830175855517</v>
      </c>
      <c r="H29" s="28">
        <f t="shared" si="2"/>
        <v>-381.63198193916469</v>
      </c>
      <c r="I29" s="29"/>
      <c r="J29" s="29"/>
      <c r="K29" s="2"/>
      <c r="L29" s="1"/>
      <c r="M29" s="199"/>
      <c r="N29" s="199"/>
    </row>
    <row r="30" spans="2:14" ht="119.25" customHeight="1" x14ac:dyDescent="0.25">
      <c r="B30" s="32" t="s">
        <v>111</v>
      </c>
      <c r="C30" s="7" t="s">
        <v>121</v>
      </c>
      <c r="D30" s="24" t="s">
        <v>107</v>
      </c>
      <c r="E30" s="8">
        <v>0.24</v>
      </c>
      <c r="F30" s="26">
        <f t="shared" si="0"/>
        <v>1632.6501901140684</v>
      </c>
      <c r="G30" s="27">
        <f t="shared" ref="G30" si="3">$N$23/$N$24*E30</f>
        <v>1648.9766920152092</v>
      </c>
      <c r="H30" s="28">
        <f t="shared" si="2"/>
        <v>-16.326501901140773</v>
      </c>
      <c r="I30" s="29"/>
      <c r="J30" s="29"/>
    </row>
    <row r="31" spans="2:14" ht="56.25" x14ac:dyDescent="0.25">
      <c r="B31" s="33" t="s">
        <v>112</v>
      </c>
      <c r="C31" s="7" t="s">
        <v>121</v>
      </c>
      <c r="D31" s="24" t="s">
        <v>107</v>
      </c>
      <c r="E31" s="8">
        <v>4.9000000000000004</v>
      </c>
      <c r="F31" s="26">
        <v>34311.74</v>
      </c>
      <c r="G31" s="5">
        <v>13128</v>
      </c>
      <c r="H31" s="28">
        <f>F31-G31</f>
        <v>21183.739999999998</v>
      </c>
      <c r="I31" s="29"/>
      <c r="J31" s="29"/>
      <c r="L31" s="12"/>
    </row>
    <row r="32" spans="2:14" ht="16.5" thickBot="1" x14ac:dyDescent="0.3">
      <c r="B32" s="36" t="s">
        <v>97</v>
      </c>
      <c r="C32" s="37" t="s">
        <v>110</v>
      </c>
      <c r="D32" s="38" t="s">
        <v>107</v>
      </c>
      <c r="E32" s="39">
        <v>0.42</v>
      </c>
      <c r="F32" s="26">
        <f t="shared" si="0"/>
        <v>2857.13783269962</v>
      </c>
      <c r="G32" s="27">
        <f>$N$23/$N$24*E32</f>
        <v>2885.7092110266162</v>
      </c>
      <c r="H32" s="40">
        <f>F32-G32</f>
        <v>-28.571378326996182</v>
      </c>
      <c r="I32" s="29"/>
      <c r="J32" s="29"/>
    </row>
    <row r="33" spans="2:14" ht="16.5" thickBot="1" x14ac:dyDescent="0.3">
      <c r="B33" s="41" t="s">
        <v>98</v>
      </c>
      <c r="C33" s="42"/>
      <c r="D33" s="42"/>
      <c r="E33" s="43">
        <f>SUM(E24:E32)</f>
        <v>15.42</v>
      </c>
      <c r="F33" s="44">
        <f>SUM(F24:F32)</f>
        <v>103041.77786438529</v>
      </c>
      <c r="G33" s="45">
        <f>SUM(G24:G32)</f>
        <v>82545.338243029153</v>
      </c>
      <c r="H33" s="46">
        <f>SUM(H24:H32)</f>
        <v>20496.439621356141</v>
      </c>
      <c r="I33" s="47"/>
      <c r="J33" s="47"/>
    </row>
    <row r="34" spans="2:14" x14ac:dyDescent="0.25">
      <c r="B34" s="12"/>
      <c r="C34" s="12"/>
      <c r="D34" s="12"/>
      <c r="E34" s="135"/>
      <c r="F34" s="135"/>
      <c r="G34" s="135"/>
      <c r="H34" s="136"/>
      <c r="I34" s="136"/>
      <c r="J34" s="136"/>
    </row>
    <row r="35" spans="2:14" ht="16.5" customHeight="1" thickBot="1" x14ac:dyDescent="0.3">
      <c r="B35" s="188" t="s">
        <v>165</v>
      </c>
      <c r="C35" s="188"/>
      <c r="D35" s="188"/>
      <c r="E35" s="188"/>
      <c r="F35" s="188"/>
      <c r="G35" s="188"/>
      <c r="H35" s="188"/>
      <c r="I35" s="48"/>
      <c r="J35" s="48"/>
    </row>
    <row r="36" spans="2:14" ht="44.25" customHeight="1" thickBot="1" x14ac:dyDescent="0.3">
      <c r="B36" s="110" t="s">
        <v>166</v>
      </c>
      <c r="C36" s="186" t="s">
        <v>113</v>
      </c>
      <c r="D36" s="187"/>
      <c r="E36" s="181" t="s">
        <v>10</v>
      </c>
      <c r="F36" s="189"/>
      <c r="G36" s="181" t="s">
        <v>11</v>
      </c>
      <c r="H36" s="182"/>
      <c r="I36" s="49"/>
      <c r="J36" s="49"/>
      <c r="K36" s="50"/>
      <c r="L36" s="51"/>
      <c r="M36" s="200"/>
      <c r="N36" s="200"/>
    </row>
    <row r="37" spans="2:14" x14ac:dyDescent="0.25">
      <c r="B37" s="111" t="s">
        <v>12</v>
      </c>
      <c r="C37" s="139">
        <f>E37+G37</f>
        <v>675104.53786438529</v>
      </c>
      <c r="D37" s="140"/>
      <c r="E37" s="143">
        <f>F24+F25+F26+F27+F28+F29+F30+F32+E16</f>
        <v>472287.26786438533</v>
      </c>
      <c r="F37" s="144"/>
      <c r="G37" s="143">
        <f>F31+G16</f>
        <v>202817.27</v>
      </c>
      <c r="H37" s="145"/>
      <c r="I37" s="53"/>
      <c r="J37" s="53"/>
      <c r="K37" s="9"/>
      <c r="L37" s="9"/>
      <c r="M37" s="201"/>
    </row>
    <row r="38" spans="2:14" x14ac:dyDescent="0.25">
      <c r="B38" s="52" t="s">
        <v>13</v>
      </c>
      <c r="C38" s="141">
        <f>E38+G38</f>
        <v>632325.62</v>
      </c>
      <c r="D38" s="142"/>
      <c r="E38" s="141">
        <f>E17+79446.81</f>
        <v>442712.18</v>
      </c>
      <c r="F38" s="142"/>
      <c r="G38" s="141">
        <f>G17+38090.93</f>
        <v>189613.43999999997</v>
      </c>
      <c r="H38" s="146"/>
      <c r="I38" s="53"/>
      <c r="J38" s="53"/>
      <c r="K38" s="11"/>
      <c r="L38" s="9"/>
      <c r="M38" s="201"/>
    </row>
    <row r="39" spans="2:14" ht="16.5" thickBot="1" x14ac:dyDescent="0.3">
      <c r="B39" s="54" t="s">
        <v>87</v>
      </c>
      <c r="C39" s="147">
        <f>E39+G39</f>
        <v>740304.99824302911</v>
      </c>
      <c r="D39" s="148"/>
      <c r="E39" s="150">
        <f>G24+G25+G26+G27+G28+G29+G30+G32+E18</f>
        <v>551755.99824302911</v>
      </c>
      <c r="F39" s="151"/>
      <c r="G39" s="150">
        <f>G31+G18</f>
        <v>188549</v>
      </c>
      <c r="H39" s="152"/>
      <c r="I39" s="53"/>
      <c r="J39" s="53"/>
      <c r="K39" s="55"/>
      <c r="L39" s="55"/>
    </row>
    <row r="40" spans="2:14" ht="33" customHeight="1" thickBot="1" x14ac:dyDescent="0.3">
      <c r="B40" s="13" t="s">
        <v>150</v>
      </c>
      <c r="C40" s="156">
        <f>E40+G40</f>
        <v>-107979.37824302915</v>
      </c>
      <c r="D40" s="157"/>
      <c r="E40" s="154">
        <f>E38-E39</f>
        <v>-109043.81824302912</v>
      </c>
      <c r="F40" s="155"/>
      <c r="G40" s="154">
        <f>G38-G39</f>
        <v>1064.4399999999732</v>
      </c>
      <c r="H40" s="158"/>
      <c r="I40" s="53"/>
      <c r="J40" s="53"/>
      <c r="K40" s="55"/>
      <c r="L40" s="55"/>
    </row>
    <row r="41" spans="2:14" ht="34.5" customHeight="1" x14ac:dyDescent="0.25">
      <c r="B41" s="128" t="s">
        <v>88</v>
      </c>
      <c r="C41" s="149" t="s">
        <v>155</v>
      </c>
      <c r="D41" s="149"/>
      <c r="E41" s="149"/>
      <c r="F41" s="153" t="s">
        <v>14</v>
      </c>
      <c r="G41" s="153"/>
      <c r="H41" s="128"/>
      <c r="I41" s="128"/>
      <c r="J41" s="128"/>
      <c r="K41" s="2"/>
      <c r="L41" s="2"/>
      <c r="M41" s="199"/>
      <c r="N41" s="199"/>
    </row>
    <row r="42" spans="2:14" ht="11.25" customHeight="1" x14ac:dyDescent="0.25">
      <c r="B42" s="128"/>
      <c r="C42" s="128"/>
      <c r="D42" s="128"/>
      <c r="E42" s="127"/>
      <c r="F42" s="160"/>
      <c r="G42" s="160"/>
      <c r="H42" s="129"/>
      <c r="I42" s="129"/>
      <c r="J42" s="129"/>
      <c r="K42" s="2"/>
      <c r="L42" s="2"/>
      <c r="M42" s="199"/>
      <c r="N42" s="199"/>
    </row>
    <row r="43" spans="2:14" x14ac:dyDescent="0.25">
      <c r="B43" s="128" t="s">
        <v>89</v>
      </c>
      <c r="C43" s="149" t="s">
        <v>155</v>
      </c>
      <c r="D43" s="149"/>
      <c r="E43" s="149"/>
      <c r="F43" s="153" t="s">
        <v>100</v>
      </c>
      <c r="G43" s="153"/>
      <c r="H43" s="128"/>
      <c r="I43" s="128"/>
      <c r="J43" s="128"/>
      <c r="K43" s="2"/>
      <c r="L43" s="2"/>
      <c r="M43" s="199"/>
      <c r="N43" s="199"/>
    </row>
    <row r="44" spans="2:14" ht="9.75" customHeight="1" x14ac:dyDescent="0.25">
      <c r="B44" s="128"/>
      <c r="C44" s="128"/>
      <c r="D44" s="128"/>
      <c r="E44" s="127"/>
      <c r="F44" s="153"/>
      <c r="G44" s="153"/>
      <c r="H44" s="128"/>
      <c r="I44" s="128"/>
      <c r="J44" s="128"/>
    </row>
    <row r="45" spans="2:14" x14ac:dyDescent="0.25">
      <c r="B45" s="128" t="s">
        <v>90</v>
      </c>
      <c r="C45" s="149" t="s">
        <v>155</v>
      </c>
      <c r="D45" s="149"/>
      <c r="E45" s="149"/>
      <c r="F45" s="153" t="s">
        <v>114</v>
      </c>
      <c r="G45" s="153"/>
      <c r="H45" s="128"/>
      <c r="I45" s="128"/>
      <c r="J45" s="128"/>
    </row>
    <row r="46" spans="2:14" ht="8.25" customHeight="1" x14ac:dyDescent="0.25">
      <c r="B46" s="56"/>
      <c r="C46" s="56"/>
      <c r="D46" s="56"/>
      <c r="E46" s="127"/>
      <c r="F46" s="57"/>
      <c r="G46" s="58"/>
      <c r="H46" s="59"/>
      <c r="I46" s="59"/>
      <c r="J46" s="59"/>
    </row>
    <row r="47" spans="2:14" x14ac:dyDescent="0.25">
      <c r="B47" s="128" t="s">
        <v>91</v>
      </c>
      <c r="C47" s="149" t="s">
        <v>155</v>
      </c>
      <c r="D47" s="149"/>
      <c r="E47" s="149"/>
      <c r="F47" s="153" t="s">
        <v>114</v>
      </c>
      <c r="G47" s="153"/>
    </row>
    <row r="48" spans="2:14" ht="9" customHeight="1" x14ac:dyDescent="0.25">
      <c r="B48" s="60"/>
      <c r="C48" s="60"/>
      <c r="D48" s="60"/>
      <c r="E48" s="127"/>
      <c r="F48" s="159"/>
      <c r="G48" s="159"/>
    </row>
  </sheetData>
  <mergeCells count="55">
    <mergeCell ref="N21:N22"/>
    <mergeCell ref="C36:D36"/>
    <mergeCell ref="C37:D37"/>
    <mergeCell ref="C38:D38"/>
    <mergeCell ref="E37:F37"/>
    <mergeCell ref="B35:H35"/>
    <mergeCell ref="E36:F36"/>
    <mergeCell ref="G36:H36"/>
    <mergeCell ref="G37:H37"/>
    <mergeCell ref="C19:D19"/>
    <mergeCell ref="E19:F19"/>
    <mergeCell ref="G19:H19"/>
    <mergeCell ref="C47:E47"/>
    <mergeCell ref="M21:M22"/>
    <mergeCell ref="C39:D39"/>
    <mergeCell ref="C40:D40"/>
    <mergeCell ref="G16:H16"/>
    <mergeCell ref="C17:D17"/>
    <mergeCell ref="E17:F17"/>
    <mergeCell ref="G17:H17"/>
    <mergeCell ref="C18:D18"/>
    <mergeCell ref="E18:F18"/>
    <mergeCell ref="G18:H18"/>
    <mergeCell ref="F48:G48"/>
    <mergeCell ref="F44:G44"/>
    <mergeCell ref="E38:F38"/>
    <mergeCell ref="F45:G45"/>
    <mergeCell ref="E39:F39"/>
    <mergeCell ref="E40:F40"/>
    <mergeCell ref="F47:G47"/>
    <mergeCell ref="F41:G41"/>
    <mergeCell ref="F42:G42"/>
    <mergeCell ref="F43:G43"/>
    <mergeCell ref="G38:H38"/>
    <mergeCell ref="G39:H39"/>
    <mergeCell ref="G40:H40"/>
    <mergeCell ref="C41:E41"/>
    <mergeCell ref="C43:E43"/>
    <mergeCell ref="C45:E45"/>
    <mergeCell ref="B1:H1"/>
    <mergeCell ref="B2:H3"/>
    <mergeCell ref="B21:H21"/>
    <mergeCell ref="B22:B23"/>
    <mergeCell ref="C22:C23"/>
    <mergeCell ref="D22:D23"/>
    <mergeCell ref="E22:E23"/>
    <mergeCell ref="F22:G22"/>
    <mergeCell ref="H22:H23"/>
    <mergeCell ref="D5:E5"/>
    <mergeCell ref="B14:H14"/>
    <mergeCell ref="C15:D15"/>
    <mergeCell ref="E15:F15"/>
    <mergeCell ref="G15:H15"/>
    <mergeCell ref="C16:D16"/>
    <mergeCell ref="E16:F16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48"/>
  <sheetViews>
    <sheetView zoomScale="110" zoomScaleNormal="110" workbookViewId="0">
      <selection activeCell="G28" sqref="G28"/>
    </sheetView>
  </sheetViews>
  <sheetFormatPr defaultColWidth="9.140625" defaultRowHeight="15.75" outlineLevelRow="1" x14ac:dyDescent="0.25"/>
  <cols>
    <col min="1" max="1" width="2.85546875" style="3" customWidth="1"/>
    <col min="2" max="2" width="57.7109375" style="3" customWidth="1"/>
    <col min="3" max="3" width="22.140625" style="135" customWidth="1"/>
    <col min="4" max="4" width="8.5703125" style="136" customWidth="1"/>
    <col min="5" max="5" width="10.28515625" style="136" customWidth="1"/>
    <col min="6" max="6" width="9.5703125" style="3" customWidth="1"/>
    <col min="7" max="7" width="10.42578125" style="3" customWidth="1"/>
    <col min="8" max="8" width="10.5703125" style="3" customWidth="1"/>
    <col min="9" max="9" width="12.28515625" style="3" customWidth="1"/>
    <col min="10" max="12" width="9.140625" style="3"/>
    <col min="13" max="13" width="13.5703125" style="194" customWidth="1"/>
    <col min="14" max="14" width="16.140625" style="194" customWidth="1"/>
    <col min="15" max="16384" width="9.140625" style="3"/>
  </cols>
  <sheetData>
    <row r="1" spans="1:9" x14ac:dyDescent="0.25">
      <c r="B1" s="161" t="s">
        <v>116</v>
      </c>
      <c r="C1" s="161"/>
      <c r="D1" s="161"/>
      <c r="E1" s="161"/>
      <c r="F1" s="161"/>
      <c r="G1" s="161"/>
      <c r="H1" s="161"/>
    </row>
    <row r="2" spans="1:9" ht="19.5" customHeight="1" x14ac:dyDescent="0.3">
      <c r="A2" s="14"/>
      <c r="B2" s="185" t="s">
        <v>162</v>
      </c>
      <c r="C2" s="185"/>
      <c r="D2" s="185"/>
      <c r="E2" s="185"/>
      <c r="F2" s="185"/>
      <c r="G2" s="185"/>
      <c r="H2" s="185"/>
    </row>
    <row r="3" spans="1:9" ht="20.25" customHeight="1" x14ac:dyDescent="0.3">
      <c r="A3" s="14"/>
      <c r="B3" s="185"/>
      <c r="C3" s="185"/>
      <c r="D3" s="185"/>
      <c r="E3" s="185"/>
      <c r="F3" s="185"/>
      <c r="G3" s="185"/>
      <c r="H3" s="185"/>
    </row>
    <row r="4" spans="1:9" ht="12.75" customHeight="1" x14ac:dyDescent="0.25"/>
    <row r="5" spans="1:9" x14ac:dyDescent="0.25">
      <c r="B5" s="105" t="s">
        <v>0</v>
      </c>
      <c r="C5" s="119"/>
      <c r="D5" s="178" t="s">
        <v>56</v>
      </c>
      <c r="E5" s="178"/>
      <c r="F5" s="105"/>
    </row>
    <row r="6" spans="1:9" x14ac:dyDescent="0.25">
      <c r="B6" s="105" t="s">
        <v>1</v>
      </c>
      <c r="C6" s="119"/>
      <c r="D6" s="130">
        <v>1958</v>
      </c>
      <c r="E6" s="130"/>
      <c r="F6" s="105"/>
    </row>
    <row r="7" spans="1:9" hidden="1" outlineLevel="1" x14ac:dyDescent="0.25">
      <c r="B7" s="105" t="s">
        <v>2</v>
      </c>
      <c r="C7" s="119"/>
      <c r="D7" s="130">
        <v>2</v>
      </c>
      <c r="E7" s="130"/>
      <c r="F7" s="105"/>
    </row>
    <row r="8" spans="1:9" hidden="1" outlineLevel="1" x14ac:dyDescent="0.25">
      <c r="B8" s="105" t="s">
        <v>3</v>
      </c>
      <c r="C8" s="119"/>
      <c r="D8" s="130">
        <v>12</v>
      </c>
      <c r="E8" s="130"/>
      <c r="F8" s="105"/>
    </row>
    <row r="9" spans="1:9" ht="30.75" hidden="1" customHeight="1" outlineLevel="1" x14ac:dyDescent="0.25">
      <c r="B9" s="108" t="s">
        <v>4</v>
      </c>
      <c r="C9" s="120"/>
      <c r="D9" s="130" t="s">
        <v>57</v>
      </c>
      <c r="E9" s="130"/>
      <c r="F9" s="105"/>
    </row>
    <row r="10" spans="1:9" collapsed="1" x14ac:dyDescent="0.25">
      <c r="B10" s="105" t="s">
        <v>5</v>
      </c>
      <c r="C10" s="119"/>
      <c r="D10" s="130" t="s">
        <v>138</v>
      </c>
      <c r="E10" s="130"/>
      <c r="F10" s="105"/>
      <c r="I10" s="12"/>
    </row>
    <row r="11" spans="1:9" hidden="1" outlineLevel="1" x14ac:dyDescent="0.25">
      <c r="B11" s="3" t="s">
        <v>6</v>
      </c>
      <c r="D11" s="126" t="s">
        <v>7</v>
      </c>
      <c r="E11" s="126"/>
    </row>
    <row r="12" spans="1:9" ht="30.75" hidden="1" customHeight="1" outlineLevel="1" x14ac:dyDescent="0.25">
      <c r="B12" s="17" t="s">
        <v>8</v>
      </c>
      <c r="C12" s="18"/>
      <c r="D12" s="138" t="s">
        <v>58</v>
      </c>
      <c r="E12" s="126"/>
      <c r="I12" s="12"/>
    </row>
    <row r="13" spans="1:9" ht="9.75" customHeight="1" collapsed="1" x14ac:dyDescent="0.25">
      <c r="B13" s="17"/>
      <c r="C13" s="18"/>
      <c r="D13" s="138"/>
      <c r="E13" s="126"/>
      <c r="I13" s="12"/>
    </row>
    <row r="14" spans="1:9" ht="16.5" thickBot="1" x14ac:dyDescent="0.3">
      <c r="B14" s="188" t="s">
        <v>157</v>
      </c>
      <c r="C14" s="188"/>
      <c r="D14" s="188"/>
      <c r="E14" s="188"/>
      <c r="F14" s="188"/>
      <c r="G14" s="188"/>
      <c r="H14" s="188"/>
      <c r="I14" s="12"/>
    </row>
    <row r="15" spans="1:9" ht="43.5" customHeight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  <c r="I15" s="12"/>
    </row>
    <row r="16" spans="1:9" x14ac:dyDescent="0.25">
      <c r="B16" s="111" t="s">
        <v>12</v>
      </c>
      <c r="C16" s="139">
        <v>505511.98</v>
      </c>
      <c r="D16" s="175"/>
      <c r="E16" s="143">
        <v>398067.76</v>
      </c>
      <c r="F16" s="144"/>
      <c r="G16" s="143">
        <v>107444.22</v>
      </c>
      <c r="H16" s="145"/>
      <c r="I16" s="12"/>
    </row>
    <row r="17" spans="2:14" x14ac:dyDescent="0.25">
      <c r="B17" s="52" t="s">
        <v>13</v>
      </c>
      <c r="C17" s="141">
        <v>451629.48000000004</v>
      </c>
      <c r="D17" s="173"/>
      <c r="E17" s="141">
        <v>356630.89</v>
      </c>
      <c r="F17" s="142"/>
      <c r="G17" s="141">
        <v>94998.590000000011</v>
      </c>
      <c r="H17" s="146"/>
      <c r="I17" s="12"/>
    </row>
    <row r="18" spans="2:14" ht="16.5" thickBot="1" x14ac:dyDescent="0.3">
      <c r="B18" s="54" t="s">
        <v>87</v>
      </c>
      <c r="C18" s="147">
        <v>530116.77399999998</v>
      </c>
      <c r="D18" s="174"/>
      <c r="E18" s="150">
        <v>407514.77399999998</v>
      </c>
      <c r="F18" s="151"/>
      <c r="G18" s="150">
        <v>122602</v>
      </c>
      <c r="H18" s="152"/>
      <c r="I18" s="12"/>
    </row>
    <row r="19" spans="2:14" ht="28.5" customHeight="1" thickBot="1" x14ac:dyDescent="0.3">
      <c r="B19" s="13" t="s">
        <v>149</v>
      </c>
      <c r="C19" s="156">
        <f>E19+G19</f>
        <v>-78487.293999999951</v>
      </c>
      <c r="D19" s="157"/>
      <c r="E19" s="154">
        <f>E17-E18</f>
        <v>-50883.883999999962</v>
      </c>
      <c r="F19" s="155"/>
      <c r="G19" s="154">
        <f>G17-G18</f>
        <v>-27603.409999999989</v>
      </c>
      <c r="H19" s="158"/>
      <c r="I19" s="12"/>
    </row>
    <row r="20" spans="2:14" ht="9.75" customHeight="1" x14ac:dyDescent="0.25">
      <c r="B20" s="17"/>
      <c r="C20" s="18"/>
      <c r="D20" s="138"/>
      <c r="E20" s="126"/>
      <c r="I20" s="12"/>
    </row>
    <row r="21" spans="2:14" ht="17.25" customHeight="1" thickBot="1" x14ac:dyDescent="0.3">
      <c r="B21" s="193" t="s">
        <v>163</v>
      </c>
      <c r="C21" s="193"/>
      <c r="D21" s="193"/>
      <c r="E21" s="193"/>
      <c r="F21" s="193"/>
      <c r="G21" s="193"/>
      <c r="H21" s="193"/>
      <c r="I21" s="19"/>
      <c r="J21" s="19"/>
      <c r="L21" s="12"/>
      <c r="M21" s="195" t="s">
        <v>151</v>
      </c>
      <c r="N21" s="195" t="s">
        <v>152</v>
      </c>
    </row>
    <row r="22" spans="2:14" ht="27.75" customHeight="1" x14ac:dyDescent="0.25">
      <c r="B22" s="162" t="s">
        <v>101</v>
      </c>
      <c r="C22" s="164" t="s">
        <v>102</v>
      </c>
      <c r="D22" s="164" t="s">
        <v>103</v>
      </c>
      <c r="E22" s="166" t="s">
        <v>164</v>
      </c>
      <c r="F22" s="168" t="s">
        <v>104</v>
      </c>
      <c r="G22" s="169"/>
      <c r="H22" s="170" t="s">
        <v>123</v>
      </c>
      <c r="I22" s="20"/>
      <c r="J22" s="20"/>
      <c r="L22" s="12"/>
      <c r="M22" s="196"/>
      <c r="N22" s="196"/>
    </row>
    <row r="23" spans="2:14" ht="45" customHeight="1" thickBot="1" x14ac:dyDescent="0.3">
      <c r="B23" s="163"/>
      <c r="C23" s="165"/>
      <c r="D23" s="165"/>
      <c r="E23" s="167"/>
      <c r="F23" s="21" t="s">
        <v>92</v>
      </c>
      <c r="G23" s="22" t="s">
        <v>93</v>
      </c>
      <c r="H23" s="171"/>
      <c r="I23" s="20"/>
      <c r="J23" s="20"/>
      <c r="M23" s="197">
        <v>64748.35</v>
      </c>
      <c r="N23" s="197">
        <f>M23*1.01</f>
        <v>65395.833500000001</v>
      </c>
    </row>
    <row r="24" spans="2:14" ht="50.25" customHeight="1" x14ac:dyDescent="0.25">
      <c r="B24" s="23" t="s">
        <v>105</v>
      </c>
      <c r="C24" s="7" t="s">
        <v>121</v>
      </c>
      <c r="D24" s="24" t="s">
        <v>107</v>
      </c>
      <c r="E24" s="25">
        <v>1.06</v>
      </c>
      <c r="F24" s="26">
        <f>$M$23/$M$24*E24</f>
        <v>7799.2330681818212</v>
      </c>
      <c r="G24" s="27">
        <f>$N$23/$N$24*E24</f>
        <v>7877.2253988636394</v>
      </c>
      <c r="H24" s="28">
        <f>F24-G24</f>
        <v>-77.992330681818203</v>
      </c>
      <c r="I24" s="29"/>
      <c r="J24" s="29"/>
      <c r="K24" s="134"/>
      <c r="L24" s="31"/>
      <c r="M24" s="198">
        <f>E33-E31</f>
        <v>8.7999999999999972</v>
      </c>
      <c r="N24" s="198">
        <f>E33-E31</f>
        <v>8.7999999999999972</v>
      </c>
    </row>
    <row r="25" spans="2:14" ht="56.25" x14ac:dyDescent="0.25">
      <c r="B25" s="32" t="s">
        <v>99</v>
      </c>
      <c r="C25" s="7" t="s">
        <v>121</v>
      </c>
      <c r="D25" s="24" t="s">
        <v>107</v>
      </c>
      <c r="E25" s="8">
        <v>1.19</v>
      </c>
      <c r="F25" s="26">
        <f t="shared" ref="F25:F32" si="0">$M$23/$M$24*E25</f>
        <v>8755.7427840909113</v>
      </c>
      <c r="G25" s="27">
        <f t="shared" ref="G25:G29" si="1">$N$23/$N$24*E25</f>
        <v>8843.3002119318207</v>
      </c>
      <c r="H25" s="28">
        <f t="shared" ref="H25:H30" si="2">F25-G25</f>
        <v>-87.55742784090944</v>
      </c>
      <c r="I25" s="29"/>
      <c r="J25" s="29"/>
      <c r="K25" s="2"/>
      <c r="L25" s="2"/>
      <c r="M25" s="199"/>
      <c r="N25" s="199"/>
    </row>
    <row r="26" spans="2:14" ht="52.5" customHeight="1" x14ac:dyDescent="0.25">
      <c r="B26" s="33" t="s">
        <v>94</v>
      </c>
      <c r="C26" s="7" t="s">
        <v>121</v>
      </c>
      <c r="D26" s="24" t="s">
        <v>107</v>
      </c>
      <c r="E26" s="8">
        <v>0.32</v>
      </c>
      <c r="F26" s="26">
        <f t="shared" si="0"/>
        <v>2354.4854545454555</v>
      </c>
      <c r="G26" s="27">
        <f t="shared" si="1"/>
        <v>2378.0303090909101</v>
      </c>
      <c r="H26" s="28">
        <f t="shared" si="2"/>
        <v>-23.544854545454655</v>
      </c>
      <c r="I26" s="29"/>
      <c r="J26" s="29"/>
      <c r="L26" s="12"/>
    </row>
    <row r="27" spans="2:14" ht="25.5" x14ac:dyDescent="0.25">
      <c r="B27" s="33" t="s">
        <v>108</v>
      </c>
      <c r="C27" s="34" t="s">
        <v>109</v>
      </c>
      <c r="D27" s="24" t="s">
        <v>107</v>
      </c>
      <c r="E27" s="8">
        <v>0.5</v>
      </c>
      <c r="F27" s="26">
        <f>($M$23/12*2)/$M$24*E27</f>
        <v>613.14725378787898</v>
      </c>
      <c r="G27" s="27">
        <f>($N$23/12*2)/$N$24*E27</f>
        <v>619.2787263257577</v>
      </c>
      <c r="H27" s="28">
        <f t="shared" si="2"/>
        <v>-6.1314725378787216</v>
      </c>
      <c r="I27" s="29"/>
      <c r="J27" s="29"/>
      <c r="L27" s="12"/>
    </row>
    <row r="28" spans="2:14" ht="51" x14ac:dyDescent="0.25">
      <c r="B28" s="32" t="s">
        <v>95</v>
      </c>
      <c r="C28" s="7" t="s">
        <v>122</v>
      </c>
      <c r="D28" s="24" t="s">
        <v>107</v>
      </c>
      <c r="E28" s="8">
        <v>1.18</v>
      </c>
      <c r="F28" s="26">
        <f t="shared" si="0"/>
        <v>8682.1651136363653</v>
      </c>
      <c r="G28" s="27">
        <f t="shared" si="1"/>
        <v>8768.9867647727297</v>
      </c>
      <c r="H28" s="28">
        <f t="shared" si="2"/>
        <v>-86.82165113636438</v>
      </c>
      <c r="I28" s="29"/>
      <c r="J28" s="29"/>
    </row>
    <row r="29" spans="2:14" ht="213.75" customHeight="1" x14ac:dyDescent="0.25">
      <c r="B29" s="32" t="s">
        <v>120</v>
      </c>
      <c r="C29" s="35" t="s">
        <v>110</v>
      </c>
      <c r="D29" s="24" t="s">
        <v>107</v>
      </c>
      <c r="E29" s="8">
        <f>5.61-1.35</f>
        <v>4.26</v>
      </c>
      <c r="F29" s="26">
        <f t="shared" si="0"/>
        <v>31344.087613636373</v>
      </c>
      <c r="G29" s="27">
        <f t="shared" si="1"/>
        <v>31657.52848977274</v>
      </c>
      <c r="H29" s="28">
        <f t="shared" si="2"/>
        <v>-313.44087613636657</v>
      </c>
      <c r="I29" s="29"/>
      <c r="J29" s="29"/>
      <c r="K29" s="2"/>
      <c r="L29" s="1"/>
      <c r="M29" s="199"/>
      <c r="N29" s="199"/>
    </row>
    <row r="30" spans="2:14" ht="106.5" customHeight="1" x14ac:dyDescent="0.25">
      <c r="B30" s="32" t="s">
        <v>111</v>
      </c>
      <c r="C30" s="7" t="s">
        <v>121</v>
      </c>
      <c r="D30" s="24" t="s">
        <v>107</v>
      </c>
      <c r="E30" s="8">
        <v>0.19</v>
      </c>
      <c r="F30" s="26">
        <f t="shared" si="0"/>
        <v>1397.975738636364</v>
      </c>
      <c r="G30" s="27">
        <f>$N$23/$N$24*E30</f>
        <v>1411.9554960227279</v>
      </c>
      <c r="H30" s="28">
        <f t="shared" si="2"/>
        <v>-13.979757386363872</v>
      </c>
      <c r="I30" s="29"/>
      <c r="J30" s="29"/>
    </row>
    <row r="31" spans="2:14" ht="52.5" customHeight="1" x14ac:dyDescent="0.25">
      <c r="B31" s="33" t="s">
        <v>112</v>
      </c>
      <c r="C31" s="7" t="s">
        <v>121</v>
      </c>
      <c r="D31" s="24" t="s">
        <v>107</v>
      </c>
      <c r="E31" s="8">
        <v>3.7</v>
      </c>
      <c r="F31" s="26">
        <v>28019.75</v>
      </c>
      <c r="G31" s="5">
        <v>1138</v>
      </c>
      <c r="H31" s="28">
        <f>F31-G31</f>
        <v>26881.75</v>
      </c>
      <c r="I31" s="29"/>
      <c r="J31" s="29"/>
      <c r="L31" s="12"/>
    </row>
    <row r="32" spans="2:14" ht="16.5" thickBot="1" x14ac:dyDescent="0.3">
      <c r="B32" s="36" t="s">
        <v>97</v>
      </c>
      <c r="C32" s="37" t="s">
        <v>110</v>
      </c>
      <c r="D32" s="38" t="s">
        <v>107</v>
      </c>
      <c r="E32" s="39">
        <v>0.1</v>
      </c>
      <c r="F32" s="26">
        <f t="shared" si="0"/>
        <v>735.77670454545478</v>
      </c>
      <c r="G32" s="27">
        <f t="shared" ref="G32" si="3">$N$23/$N$24*E32</f>
        <v>743.13447159090947</v>
      </c>
      <c r="H32" s="40">
        <f>F32-G32</f>
        <v>-7.3577670454546933</v>
      </c>
      <c r="I32" s="29"/>
      <c r="J32" s="29"/>
    </row>
    <row r="33" spans="2:14" ht="16.5" thickBot="1" x14ac:dyDescent="0.3">
      <c r="B33" s="41" t="s">
        <v>98</v>
      </c>
      <c r="C33" s="42"/>
      <c r="D33" s="42"/>
      <c r="E33" s="43">
        <f>SUM(E24:E32)</f>
        <v>12.499999999999998</v>
      </c>
      <c r="F33" s="44">
        <f>SUM(F24:F32)</f>
        <v>89702.363731060614</v>
      </c>
      <c r="G33" s="45">
        <f>SUM(G24:G32)</f>
        <v>63437.439868371228</v>
      </c>
      <c r="H33" s="46">
        <f>SUM(H24:H32)</f>
        <v>26264.923862689389</v>
      </c>
      <c r="I33" s="47"/>
      <c r="J33" s="47"/>
    </row>
    <row r="34" spans="2:14" ht="7.5" customHeight="1" x14ac:dyDescent="0.25">
      <c r="B34" s="12"/>
      <c r="C34" s="12"/>
      <c r="D34" s="12"/>
      <c r="E34" s="135"/>
      <c r="F34" s="135"/>
      <c r="G34" s="135"/>
      <c r="H34" s="136"/>
      <c r="I34" s="136"/>
      <c r="J34" s="136"/>
    </row>
    <row r="35" spans="2:14" ht="16.5" customHeight="1" thickBot="1" x14ac:dyDescent="0.3">
      <c r="B35" s="188" t="s">
        <v>165</v>
      </c>
      <c r="C35" s="188"/>
      <c r="D35" s="188"/>
      <c r="E35" s="188"/>
      <c r="F35" s="188"/>
      <c r="G35" s="188"/>
      <c r="H35" s="188"/>
      <c r="I35" s="48"/>
      <c r="J35" s="48"/>
    </row>
    <row r="36" spans="2:14" ht="44.25" customHeight="1" thickBot="1" x14ac:dyDescent="0.3">
      <c r="B36" s="110" t="s">
        <v>166</v>
      </c>
      <c r="C36" s="186" t="s">
        <v>113</v>
      </c>
      <c r="D36" s="187"/>
      <c r="E36" s="181" t="s">
        <v>10</v>
      </c>
      <c r="F36" s="189"/>
      <c r="G36" s="181" t="s">
        <v>11</v>
      </c>
      <c r="H36" s="182"/>
      <c r="I36" s="49"/>
      <c r="J36" s="49"/>
      <c r="K36" s="50"/>
      <c r="L36" s="51"/>
      <c r="M36" s="200"/>
      <c r="N36" s="200"/>
    </row>
    <row r="37" spans="2:14" x14ac:dyDescent="0.25">
      <c r="B37" s="111" t="s">
        <v>12</v>
      </c>
      <c r="C37" s="139">
        <f>E37+G37</f>
        <v>595214.34373106062</v>
      </c>
      <c r="D37" s="140"/>
      <c r="E37" s="143">
        <f>F24+F25+F26+F27+F28+F29+F30+F32+E16</f>
        <v>459750.37373106065</v>
      </c>
      <c r="F37" s="144"/>
      <c r="G37" s="143">
        <f>F31+G16</f>
        <v>135463.97</v>
      </c>
      <c r="H37" s="145"/>
      <c r="I37" s="53"/>
      <c r="J37" s="53"/>
      <c r="K37" s="9"/>
      <c r="L37" s="9"/>
      <c r="M37" s="201"/>
    </row>
    <row r="38" spans="2:14" x14ac:dyDescent="0.25">
      <c r="B38" s="52" t="s">
        <v>13</v>
      </c>
      <c r="C38" s="141">
        <f>E38+G38</f>
        <v>524294.18000000005</v>
      </c>
      <c r="D38" s="142"/>
      <c r="E38" s="141">
        <f>E17+50716.99</f>
        <v>407347.88</v>
      </c>
      <c r="F38" s="142"/>
      <c r="G38" s="141">
        <f>G17+21947.71</f>
        <v>116946.30000000002</v>
      </c>
      <c r="H38" s="146"/>
      <c r="I38" s="53"/>
      <c r="J38" s="53"/>
      <c r="K38" s="11"/>
      <c r="L38" s="9"/>
      <c r="M38" s="201"/>
    </row>
    <row r="39" spans="2:14" ht="16.5" thickBot="1" x14ac:dyDescent="0.3">
      <c r="B39" s="54" t="s">
        <v>87</v>
      </c>
      <c r="C39" s="147">
        <f>E39+G39</f>
        <v>593554.21386837121</v>
      </c>
      <c r="D39" s="148"/>
      <c r="E39" s="150">
        <f>G24+G25+G26+G27+G28+G29+G30+G32+E18</f>
        <v>469814.21386837121</v>
      </c>
      <c r="F39" s="151"/>
      <c r="G39" s="150">
        <f>G31+G18</f>
        <v>123740</v>
      </c>
      <c r="H39" s="152"/>
      <c r="I39" s="53"/>
      <c r="J39" s="53"/>
      <c r="K39" s="55"/>
      <c r="L39" s="55"/>
    </row>
    <row r="40" spans="2:14" ht="25.5" thickBot="1" x14ac:dyDescent="0.3">
      <c r="B40" s="13" t="s">
        <v>150</v>
      </c>
      <c r="C40" s="156">
        <f>E40+G40</f>
        <v>-69260.033868371189</v>
      </c>
      <c r="D40" s="157"/>
      <c r="E40" s="154">
        <f>E38-E39</f>
        <v>-62466.333868371206</v>
      </c>
      <c r="F40" s="155"/>
      <c r="G40" s="154">
        <f>G38-G39</f>
        <v>-6793.6999999999825</v>
      </c>
      <c r="H40" s="158"/>
      <c r="I40" s="53"/>
      <c r="J40" s="53"/>
      <c r="K40" s="55"/>
      <c r="L40" s="55"/>
    </row>
    <row r="41" spans="2:14" ht="24" customHeight="1" x14ac:dyDescent="0.25">
      <c r="B41" s="128" t="s">
        <v>88</v>
      </c>
      <c r="C41" s="149" t="s">
        <v>155</v>
      </c>
      <c r="D41" s="149"/>
      <c r="E41" s="149"/>
      <c r="F41" s="153" t="s">
        <v>14</v>
      </c>
      <c r="G41" s="153"/>
      <c r="H41" s="128"/>
      <c r="I41" s="128"/>
      <c r="J41" s="128"/>
      <c r="K41" s="2"/>
      <c r="L41" s="2"/>
      <c r="M41" s="199"/>
      <c r="N41" s="199"/>
    </row>
    <row r="42" spans="2:14" ht="11.25" customHeight="1" x14ac:dyDescent="0.25">
      <c r="B42" s="128"/>
      <c r="C42" s="128"/>
      <c r="D42" s="128"/>
      <c r="E42" s="127"/>
      <c r="F42" s="160"/>
      <c r="G42" s="160"/>
      <c r="H42" s="129"/>
      <c r="I42" s="129"/>
      <c r="J42" s="129"/>
      <c r="K42" s="2"/>
      <c r="L42" s="2"/>
      <c r="M42" s="199"/>
      <c r="N42" s="199"/>
    </row>
    <row r="43" spans="2:14" ht="12.75" customHeight="1" x14ac:dyDescent="0.25">
      <c r="B43" s="128" t="s">
        <v>89</v>
      </c>
      <c r="C43" s="149" t="s">
        <v>155</v>
      </c>
      <c r="D43" s="149"/>
      <c r="E43" s="149"/>
      <c r="F43" s="153" t="s">
        <v>100</v>
      </c>
      <c r="G43" s="153"/>
      <c r="H43" s="128"/>
      <c r="I43" s="128"/>
      <c r="J43" s="128"/>
      <c r="K43" s="2"/>
      <c r="L43" s="2"/>
      <c r="M43" s="199"/>
      <c r="N43" s="199"/>
    </row>
    <row r="44" spans="2:14" ht="9.75" customHeight="1" x14ac:dyDescent="0.25">
      <c r="B44" s="128"/>
      <c r="C44" s="128"/>
      <c r="D44" s="128"/>
      <c r="E44" s="127"/>
      <c r="F44" s="153"/>
      <c r="G44" s="153"/>
      <c r="H44" s="128"/>
      <c r="I44" s="128"/>
      <c r="J44" s="128"/>
    </row>
    <row r="45" spans="2:14" ht="15" customHeight="1" x14ac:dyDescent="0.25">
      <c r="B45" s="128" t="s">
        <v>90</v>
      </c>
      <c r="C45" s="149" t="s">
        <v>155</v>
      </c>
      <c r="D45" s="149"/>
      <c r="E45" s="149"/>
      <c r="F45" s="153" t="s">
        <v>114</v>
      </c>
      <c r="G45" s="153"/>
      <c r="H45" s="128"/>
      <c r="I45" s="128"/>
      <c r="J45" s="128"/>
    </row>
    <row r="46" spans="2:14" ht="8.25" customHeight="1" x14ac:dyDescent="0.25">
      <c r="B46" s="56"/>
      <c r="C46" s="56"/>
      <c r="D46" s="56"/>
      <c r="E46" s="127"/>
      <c r="F46" s="57"/>
      <c r="G46" s="58"/>
      <c r="H46" s="59"/>
      <c r="I46" s="59"/>
      <c r="J46" s="59"/>
    </row>
    <row r="47" spans="2:14" ht="12.75" customHeight="1" x14ac:dyDescent="0.25">
      <c r="B47" s="128" t="s">
        <v>91</v>
      </c>
      <c r="C47" s="149" t="s">
        <v>155</v>
      </c>
      <c r="D47" s="149"/>
      <c r="E47" s="149"/>
      <c r="F47" s="153" t="s">
        <v>114</v>
      </c>
      <c r="G47" s="153"/>
    </row>
    <row r="48" spans="2:14" ht="9" customHeight="1" x14ac:dyDescent="0.25">
      <c r="B48" s="60"/>
      <c r="C48" s="60"/>
      <c r="D48" s="60"/>
      <c r="E48" s="127"/>
      <c r="F48" s="159"/>
      <c r="G48" s="159"/>
    </row>
  </sheetData>
  <mergeCells count="55">
    <mergeCell ref="B1:H1"/>
    <mergeCell ref="B2:H3"/>
    <mergeCell ref="B21:H21"/>
    <mergeCell ref="B22:B23"/>
    <mergeCell ref="C22:C23"/>
    <mergeCell ref="D22:D23"/>
    <mergeCell ref="E22:E23"/>
    <mergeCell ref="F22:G22"/>
    <mergeCell ref="H22:H23"/>
    <mergeCell ref="D5:E5"/>
    <mergeCell ref="B14:H14"/>
    <mergeCell ref="C15:D15"/>
    <mergeCell ref="E15:F15"/>
    <mergeCell ref="G15:H15"/>
    <mergeCell ref="C16:D16"/>
    <mergeCell ref="F47:G47"/>
    <mergeCell ref="F48:G48"/>
    <mergeCell ref="E37:F37"/>
    <mergeCell ref="F44:G44"/>
    <mergeCell ref="E38:F38"/>
    <mergeCell ref="F45:G45"/>
    <mergeCell ref="F41:G41"/>
    <mergeCell ref="F42:G42"/>
    <mergeCell ref="F43:G43"/>
    <mergeCell ref="G37:H37"/>
    <mergeCell ref="G38:H38"/>
    <mergeCell ref="G39:H39"/>
    <mergeCell ref="G40:H40"/>
    <mergeCell ref="C41:E41"/>
    <mergeCell ref="C43:E43"/>
    <mergeCell ref="C47:E47"/>
    <mergeCell ref="C45:E45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39:D39"/>
    <mergeCell ref="C40:D40"/>
    <mergeCell ref="E39:F39"/>
    <mergeCell ref="E40:F40"/>
    <mergeCell ref="E16:F16"/>
    <mergeCell ref="M21:M22"/>
    <mergeCell ref="N21:N22"/>
    <mergeCell ref="C36:D36"/>
    <mergeCell ref="C37:D37"/>
    <mergeCell ref="C38:D38"/>
    <mergeCell ref="E36:F36"/>
    <mergeCell ref="B35:H35"/>
    <mergeCell ref="G36:H36"/>
  </mergeCells>
  <printOptions horizontalCentered="1"/>
  <pageMargins left="0.19685039370078741" right="0.19685039370078741" top="0.17" bottom="0.24" header="0.16" footer="0.24"/>
  <pageSetup paperSize="9" scale="4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53"/>
  <sheetViews>
    <sheetView topLeftCell="A4" zoomScale="110" zoomScaleNormal="110" workbookViewId="0">
      <selection sqref="A1:XFD1048576"/>
    </sheetView>
  </sheetViews>
  <sheetFormatPr defaultColWidth="9.140625" defaultRowHeight="15.75" outlineLevelRow="1" x14ac:dyDescent="0.25"/>
  <cols>
    <col min="1" max="1" width="2.85546875" style="3" customWidth="1"/>
    <col min="2" max="2" width="56" style="3" customWidth="1"/>
    <col min="3" max="3" width="23.7109375" style="135" customWidth="1"/>
    <col min="4" max="4" width="9.28515625" style="136" customWidth="1"/>
    <col min="5" max="5" width="9.5703125" style="136" customWidth="1"/>
    <col min="6" max="6" width="10.42578125" style="3" customWidth="1"/>
    <col min="7" max="7" width="10.28515625" style="3" customWidth="1"/>
    <col min="8" max="11" width="11" style="3" customWidth="1"/>
    <col min="12" max="12" width="9.140625" style="3"/>
    <col min="13" max="13" width="14.28515625" style="194" customWidth="1"/>
    <col min="14" max="14" width="13.28515625" style="194" customWidth="1"/>
    <col min="15" max="16384" width="9.140625" style="3"/>
  </cols>
  <sheetData>
    <row r="1" spans="2:11" ht="19.5" customHeight="1" x14ac:dyDescent="0.25">
      <c r="B1" s="161" t="s">
        <v>116</v>
      </c>
      <c r="C1" s="161"/>
      <c r="D1" s="161"/>
      <c r="E1" s="161"/>
      <c r="F1" s="161"/>
      <c r="G1" s="161"/>
      <c r="H1" s="161"/>
      <c r="I1" s="132"/>
      <c r="J1" s="132"/>
      <c r="K1" s="132"/>
    </row>
    <row r="2" spans="2:11" ht="20.25" customHeight="1" x14ac:dyDescent="0.35">
      <c r="B2" s="185" t="s">
        <v>162</v>
      </c>
      <c r="C2" s="185"/>
      <c r="D2" s="185"/>
      <c r="E2" s="185"/>
      <c r="F2" s="185"/>
      <c r="G2" s="185"/>
      <c r="H2" s="185"/>
      <c r="I2" s="133"/>
      <c r="J2" s="133"/>
      <c r="K2" s="133"/>
    </row>
    <row r="3" spans="2:11" ht="23.25" customHeight="1" x14ac:dyDescent="0.35">
      <c r="B3" s="185"/>
      <c r="C3" s="185"/>
      <c r="D3" s="185"/>
      <c r="E3" s="185"/>
      <c r="F3" s="185"/>
      <c r="G3" s="185"/>
      <c r="H3" s="185"/>
      <c r="I3" s="133"/>
      <c r="J3" s="133"/>
      <c r="K3" s="133"/>
    </row>
    <row r="4" spans="2:11" ht="9.75" customHeight="1" x14ac:dyDescent="0.35"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2:11" x14ac:dyDescent="0.25">
      <c r="B5" s="3" t="s">
        <v>0</v>
      </c>
      <c r="D5" s="172" t="s">
        <v>59</v>
      </c>
      <c r="E5" s="172"/>
    </row>
    <row r="6" spans="2:11" x14ac:dyDescent="0.25">
      <c r="B6" s="3" t="s">
        <v>1</v>
      </c>
      <c r="D6" s="126">
        <v>1972</v>
      </c>
      <c r="E6" s="126"/>
    </row>
    <row r="7" spans="2:11" hidden="1" outlineLevel="1" x14ac:dyDescent="0.25">
      <c r="B7" s="3" t="s">
        <v>2</v>
      </c>
      <c r="D7" s="126">
        <v>2</v>
      </c>
      <c r="E7" s="126"/>
    </row>
    <row r="8" spans="2:11" hidden="1" outlineLevel="1" x14ac:dyDescent="0.25">
      <c r="B8" s="3" t="s">
        <v>3</v>
      </c>
      <c r="D8" s="126">
        <v>16</v>
      </c>
      <c r="E8" s="126"/>
    </row>
    <row r="9" spans="2:11" ht="30.75" hidden="1" customHeight="1" outlineLevel="1" x14ac:dyDescent="0.25">
      <c r="B9" s="17" t="s">
        <v>4</v>
      </c>
      <c r="C9" s="18"/>
      <c r="D9" s="126" t="s">
        <v>60</v>
      </c>
      <c r="E9" s="126"/>
    </row>
    <row r="10" spans="2:11" collapsed="1" x14ac:dyDescent="0.25">
      <c r="B10" s="3" t="s">
        <v>5</v>
      </c>
      <c r="D10" s="126" t="s">
        <v>139</v>
      </c>
      <c r="E10" s="126"/>
    </row>
    <row r="11" spans="2:11" hidden="1" outlineLevel="1" x14ac:dyDescent="0.25">
      <c r="B11" s="3" t="s">
        <v>6</v>
      </c>
      <c r="D11" s="126" t="s">
        <v>7</v>
      </c>
      <c r="E11" s="126"/>
    </row>
    <row r="12" spans="2:11" ht="30.75" hidden="1" customHeight="1" outlineLevel="1" x14ac:dyDescent="0.25">
      <c r="B12" s="17" t="s">
        <v>8</v>
      </c>
      <c r="C12" s="18"/>
      <c r="D12" s="138" t="s">
        <v>61</v>
      </c>
      <c r="E12" s="126"/>
    </row>
    <row r="13" spans="2:11" ht="7.5" customHeight="1" collapsed="1" x14ac:dyDescent="0.25">
      <c r="B13" s="17"/>
      <c r="C13" s="18"/>
      <c r="D13" s="138"/>
      <c r="E13" s="126"/>
    </row>
    <row r="14" spans="2:11" ht="16.5" thickBot="1" x14ac:dyDescent="0.3">
      <c r="B14" s="188" t="s">
        <v>157</v>
      </c>
      <c r="C14" s="188"/>
      <c r="D14" s="188"/>
      <c r="E14" s="188"/>
      <c r="F14" s="188"/>
      <c r="G14" s="188"/>
      <c r="H14" s="188"/>
    </row>
    <row r="15" spans="2:11" ht="46.5" customHeight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</row>
    <row r="16" spans="2:11" x14ac:dyDescent="0.25">
      <c r="B16" s="111" t="s">
        <v>12</v>
      </c>
      <c r="C16" s="139">
        <v>438652.26513056282</v>
      </c>
      <c r="D16" s="175"/>
      <c r="E16" s="143">
        <v>428140.96513056284</v>
      </c>
      <c r="F16" s="144"/>
      <c r="G16" s="143">
        <v>10511.3</v>
      </c>
      <c r="H16" s="145"/>
    </row>
    <row r="17" spans="2:14" x14ac:dyDescent="0.25">
      <c r="B17" s="52" t="s">
        <v>13</v>
      </c>
      <c r="C17" s="141">
        <v>420931.32</v>
      </c>
      <c r="D17" s="173"/>
      <c r="E17" s="141">
        <v>410524.52</v>
      </c>
      <c r="F17" s="142"/>
      <c r="G17" s="141">
        <v>10406.799999999999</v>
      </c>
      <c r="H17" s="146"/>
    </row>
    <row r="18" spans="2:14" x14ac:dyDescent="0.25">
      <c r="B18" s="54" t="s">
        <v>87</v>
      </c>
      <c r="C18" s="141">
        <v>475956.6825</v>
      </c>
      <c r="D18" s="173"/>
      <c r="E18" s="150">
        <v>449119.6825</v>
      </c>
      <c r="F18" s="151"/>
      <c r="G18" s="150">
        <v>26837</v>
      </c>
      <c r="H18" s="152"/>
    </row>
    <row r="19" spans="2:14" ht="16.5" thickBot="1" x14ac:dyDescent="0.3">
      <c r="B19" s="64" t="s">
        <v>148</v>
      </c>
      <c r="C19" s="147">
        <v>7200</v>
      </c>
      <c r="D19" s="174"/>
      <c r="E19" s="147">
        <v>7200</v>
      </c>
      <c r="F19" s="148"/>
      <c r="G19" s="147">
        <v>0</v>
      </c>
      <c r="H19" s="176"/>
    </row>
    <row r="20" spans="2:14" ht="30.75" customHeight="1" thickBot="1" x14ac:dyDescent="0.3">
      <c r="B20" s="13" t="s">
        <v>149</v>
      </c>
      <c r="C20" s="156">
        <f>E20+G20</f>
        <v>-47825.362499999974</v>
      </c>
      <c r="D20" s="157"/>
      <c r="E20" s="154">
        <f>E17+E19-E18</f>
        <v>-31395.162499999977</v>
      </c>
      <c r="F20" s="155"/>
      <c r="G20" s="154">
        <f>G17-G18</f>
        <v>-16430.2</v>
      </c>
      <c r="H20" s="158"/>
    </row>
    <row r="21" spans="2:14" x14ac:dyDescent="0.25">
      <c r="B21" s="17"/>
      <c r="C21" s="18"/>
      <c r="D21" s="138"/>
      <c r="E21" s="126"/>
    </row>
    <row r="22" spans="2:14" ht="23.25" customHeight="1" thickBot="1" x14ac:dyDescent="0.3">
      <c r="B22" s="193" t="s">
        <v>163</v>
      </c>
      <c r="C22" s="193"/>
      <c r="D22" s="193"/>
      <c r="E22" s="193"/>
      <c r="F22" s="193"/>
      <c r="G22" s="193"/>
      <c r="H22" s="193"/>
      <c r="I22" s="19"/>
      <c r="J22" s="19"/>
      <c r="K22" s="19"/>
      <c r="L22" s="12"/>
      <c r="M22" s="195" t="s">
        <v>151</v>
      </c>
      <c r="N22" s="195" t="s">
        <v>152</v>
      </c>
    </row>
    <row r="23" spans="2:14" ht="33" customHeight="1" x14ac:dyDescent="0.25">
      <c r="B23" s="162" t="s">
        <v>101</v>
      </c>
      <c r="C23" s="164" t="s">
        <v>102</v>
      </c>
      <c r="D23" s="164" t="s">
        <v>103</v>
      </c>
      <c r="E23" s="166" t="s">
        <v>156</v>
      </c>
      <c r="F23" s="168" t="s">
        <v>104</v>
      </c>
      <c r="G23" s="169"/>
      <c r="H23" s="170" t="s">
        <v>123</v>
      </c>
      <c r="I23" s="20"/>
      <c r="J23" s="20"/>
      <c r="K23" s="20"/>
      <c r="L23" s="12"/>
      <c r="M23" s="196"/>
      <c r="N23" s="196"/>
    </row>
    <row r="24" spans="2:14" ht="42.75" customHeight="1" thickBot="1" x14ac:dyDescent="0.3">
      <c r="B24" s="163"/>
      <c r="C24" s="165"/>
      <c r="D24" s="165"/>
      <c r="E24" s="167"/>
      <c r="F24" s="21" t="s">
        <v>92</v>
      </c>
      <c r="G24" s="22" t="s">
        <v>93</v>
      </c>
      <c r="H24" s="171"/>
      <c r="I24" s="20"/>
      <c r="J24" s="20"/>
      <c r="K24" s="20"/>
      <c r="M24" s="197">
        <v>667892.57999999996</v>
      </c>
      <c r="N24" s="197">
        <f>M24*1.01</f>
        <v>674571.50579999993</v>
      </c>
    </row>
    <row r="25" spans="2:14" ht="45" x14ac:dyDescent="0.25">
      <c r="B25" s="77" t="s">
        <v>105</v>
      </c>
      <c r="C25" s="7" t="s">
        <v>121</v>
      </c>
      <c r="D25" s="24" t="s">
        <v>107</v>
      </c>
      <c r="E25" s="25">
        <v>1.06</v>
      </c>
      <c r="F25" s="26">
        <f>$M$24/$M$25*E25</f>
        <v>73212.630279214078</v>
      </c>
      <c r="G25" s="27">
        <f>$N$24/$N$25*E25</f>
        <v>53084.320426726059</v>
      </c>
      <c r="H25" s="28">
        <f>F25-G25</f>
        <v>20128.309852488019</v>
      </c>
      <c r="I25" s="29"/>
      <c r="J25" s="29"/>
      <c r="K25" s="29"/>
      <c r="L25" s="31"/>
      <c r="M25" s="198">
        <f>E35-E33-E32</f>
        <v>9.6699999999999982</v>
      </c>
      <c r="N25" s="198">
        <f>E35-E33</f>
        <v>13.469999999999999</v>
      </c>
    </row>
    <row r="26" spans="2:14" ht="51.75" x14ac:dyDescent="0.25">
      <c r="B26" s="79" t="s">
        <v>99</v>
      </c>
      <c r="C26" s="7" t="s">
        <v>121</v>
      </c>
      <c r="D26" s="24" t="s">
        <v>107</v>
      </c>
      <c r="E26" s="8">
        <v>1.19</v>
      </c>
      <c r="F26" s="26">
        <f t="shared" ref="F26:F34" si="0">$M$24/$M$25*E26</f>
        <v>82191.537766287496</v>
      </c>
      <c r="G26" s="27">
        <f t="shared" ref="G26:G30" si="1">$N$24/$N$25*E26</f>
        <v>59594.66161113586</v>
      </c>
      <c r="H26" s="28">
        <f t="shared" ref="H26:H31" si="2">F26-G26</f>
        <v>22596.876155151636</v>
      </c>
      <c r="I26" s="29"/>
      <c r="J26" s="29"/>
      <c r="K26" s="29"/>
      <c r="L26" s="2"/>
      <c r="M26" s="199"/>
      <c r="N26" s="199"/>
    </row>
    <row r="27" spans="2:14" ht="51" customHeight="1" x14ac:dyDescent="0.25">
      <c r="B27" s="33" t="s">
        <v>94</v>
      </c>
      <c r="C27" s="7" t="s">
        <v>121</v>
      </c>
      <c r="D27" s="24" t="s">
        <v>107</v>
      </c>
      <c r="E27" s="8">
        <v>0.32</v>
      </c>
      <c r="F27" s="26">
        <f t="shared" si="0"/>
        <v>22101.926122026893</v>
      </c>
      <c r="G27" s="27">
        <f t="shared" si="1"/>
        <v>16025.455223162584</v>
      </c>
      <c r="H27" s="28">
        <f t="shared" si="2"/>
        <v>6076.4708988643088</v>
      </c>
      <c r="I27" s="29"/>
      <c r="J27" s="29"/>
      <c r="K27" s="29"/>
      <c r="L27" s="12"/>
    </row>
    <row r="28" spans="2:14" ht="26.25" x14ac:dyDescent="0.25">
      <c r="B28" s="81" t="s">
        <v>108</v>
      </c>
      <c r="C28" s="34" t="s">
        <v>109</v>
      </c>
      <c r="D28" s="24" t="s">
        <v>107</v>
      </c>
      <c r="E28" s="8">
        <v>0</v>
      </c>
      <c r="F28" s="26">
        <f t="shared" si="0"/>
        <v>0</v>
      </c>
      <c r="G28" s="27">
        <f t="shared" si="1"/>
        <v>0</v>
      </c>
      <c r="H28" s="28">
        <f t="shared" si="2"/>
        <v>0</v>
      </c>
      <c r="I28" s="29"/>
      <c r="J28" s="29"/>
      <c r="K28" s="29"/>
      <c r="L28" s="12"/>
    </row>
    <row r="29" spans="2:14" ht="51.75" x14ac:dyDescent="0.25">
      <c r="B29" s="79" t="s">
        <v>95</v>
      </c>
      <c r="C29" s="7" t="s">
        <v>122</v>
      </c>
      <c r="D29" s="24" t="s">
        <v>107</v>
      </c>
      <c r="E29" s="8">
        <v>1.18</v>
      </c>
      <c r="F29" s="26">
        <f t="shared" si="0"/>
        <v>81500.852574974153</v>
      </c>
      <c r="G29" s="27">
        <f t="shared" si="1"/>
        <v>59093.866135412027</v>
      </c>
      <c r="H29" s="28">
        <f t="shared" si="2"/>
        <v>22406.986439562126</v>
      </c>
      <c r="I29" s="29"/>
      <c r="J29" s="29"/>
      <c r="K29" s="29"/>
    </row>
    <row r="30" spans="2:14" ht="230.25" customHeight="1" x14ac:dyDescent="0.25">
      <c r="B30" s="32" t="s">
        <v>120</v>
      </c>
      <c r="C30" s="35" t="s">
        <v>110</v>
      </c>
      <c r="D30" s="24" t="s">
        <v>107</v>
      </c>
      <c r="E30" s="8">
        <v>5.61</v>
      </c>
      <c r="F30" s="26">
        <f t="shared" si="0"/>
        <v>387474.39232678397</v>
      </c>
      <c r="G30" s="27">
        <f t="shared" si="1"/>
        <v>280946.26188106905</v>
      </c>
      <c r="H30" s="28">
        <f t="shared" si="2"/>
        <v>106528.13044571492</v>
      </c>
      <c r="I30" s="29"/>
      <c r="J30" s="29"/>
      <c r="K30" s="29"/>
      <c r="L30" s="1"/>
      <c r="M30" s="199"/>
      <c r="N30" s="199"/>
    </row>
    <row r="31" spans="2:14" ht="128.25" customHeight="1" x14ac:dyDescent="0.25">
      <c r="B31" s="79" t="s">
        <v>111</v>
      </c>
      <c r="C31" s="7" t="s">
        <v>121</v>
      </c>
      <c r="D31" s="24" t="s">
        <v>107</v>
      </c>
      <c r="E31" s="8">
        <v>0.24</v>
      </c>
      <c r="F31" s="26">
        <f t="shared" si="0"/>
        <v>16576.444591520169</v>
      </c>
      <c r="G31" s="27">
        <f t="shared" ref="G31:G33" si="3">$N$24/$N$25*E31</f>
        <v>12019.091417371937</v>
      </c>
      <c r="H31" s="28">
        <f t="shared" si="2"/>
        <v>4557.3531741482311</v>
      </c>
      <c r="I31" s="29"/>
      <c r="J31" s="29"/>
      <c r="K31" s="29"/>
    </row>
    <row r="32" spans="2:14" ht="51.75" customHeight="1" x14ac:dyDescent="0.25">
      <c r="B32" s="33" t="s">
        <v>112</v>
      </c>
      <c r="C32" s="7" t="s">
        <v>121</v>
      </c>
      <c r="D32" s="24" t="s">
        <v>107</v>
      </c>
      <c r="E32" s="8">
        <v>3.8</v>
      </c>
      <c r="F32" s="26">
        <v>5275.03</v>
      </c>
      <c r="G32" s="5">
        <v>2510</v>
      </c>
      <c r="H32" s="28">
        <f>F32-G32</f>
        <v>2765.0299999999997</v>
      </c>
      <c r="I32" s="29"/>
      <c r="J32" s="29"/>
      <c r="K32" s="29"/>
      <c r="L32" s="12"/>
    </row>
    <row r="33" spans="2:14" ht="29.25" customHeight="1" x14ac:dyDescent="0.25">
      <c r="B33" s="33" t="s">
        <v>115</v>
      </c>
      <c r="C33" s="34" t="s">
        <v>109</v>
      </c>
      <c r="D33" s="24" t="s">
        <v>107</v>
      </c>
      <c r="E33" s="8">
        <v>0.42</v>
      </c>
      <c r="F33" s="26">
        <f>$M$24/$M$25*E33</f>
        <v>29008.778035160292</v>
      </c>
      <c r="G33" s="27">
        <f t="shared" si="3"/>
        <v>21033.409980400891</v>
      </c>
      <c r="H33" s="40">
        <f>F33-G33</f>
        <v>7975.3680547594013</v>
      </c>
      <c r="I33" s="29"/>
      <c r="J33" s="29"/>
      <c r="K33" s="29"/>
      <c r="L33" s="12"/>
    </row>
    <row r="34" spans="2:14" ht="16.5" thickBot="1" x14ac:dyDescent="0.3">
      <c r="B34" s="82" t="s">
        <v>97</v>
      </c>
      <c r="C34" s="37" t="s">
        <v>110</v>
      </c>
      <c r="D34" s="38" t="s">
        <v>107</v>
      </c>
      <c r="E34" s="39">
        <v>7.0000000000000007E-2</v>
      </c>
      <c r="F34" s="26">
        <f t="shared" si="0"/>
        <v>4834.7963391933827</v>
      </c>
      <c r="G34" s="27">
        <f t="shared" ref="G34" si="4">$N$24/$N$25*E34</f>
        <v>3505.5683300668156</v>
      </c>
      <c r="H34" s="83">
        <f>F34-G34</f>
        <v>1329.228009126567</v>
      </c>
      <c r="I34" s="29"/>
      <c r="J34" s="29"/>
      <c r="K34" s="29"/>
    </row>
    <row r="35" spans="2:14" ht="16.5" thickBot="1" x14ac:dyDescent="0.3">
      <c r="B35" s="84" t="s">
        <v>98</v>
      </c>
      <c r="C35" s="42"/>
      <c r="D35" s="42"/>
      <c r="E35" s="43">
        <f>SUM(E25:E34)</f>
        <v>13.889999999999999</v>
      </c>
      <c r="F35" s="44">
        <f>SUM(F25:F34)</f>
        <v>702176.38803516037</v>
      </c>
      <c r="G35" s="45">
        <f>SUM(G25:G34)</f>
        <v>507812.63500534516</v>
      </c>
      <c r="H35" s="46">
        <f>G35-F35</f>
        <v>-194363.75302981521</v>
      </c>
      <c r="I35" s="116"/>
      <c r="J35" s="116"/>
      <c r="K35" s="116"/>
    </row>
    <row r="36" spans="2:14" x14ac:dyDescent="0.25">
      <c r="B36" s="12"/>
      <c r="C36" s="12"/>
      <c r="D36" s="12"/>
      <c r="E36" s="135"/>
      <c r="F36" s="135"/>
      <c r="G36" s="135"/>
      <c r="H36" s="136"/>
      <c r="I36" s="136"/>
      <c r="J36" s="136"/>
      <c r="K36" s="136"/>
    </row>
    <row r="37" spans="2:14" ht="16.5" customHeight="1" thickBot="1" x14ac:dyDescent="0.3">
      <c r="B37" s="188" t="s">
        <v>165</v>
      </c>
      <c r="C37" s="188"/>
      <c r="D37" s="188"/>
      <c r="E37" s="188"/>
      <c r="F37" s="188"/>
      <c r="G37" s="188"/>
      <c r="H37" s="188"/>
      <c r="I37" s="117"/>
      <c r="J37" s="117"/>
      <c r="K37" s="117"/>
    </row>
    <row r="38" spans="2:14" ht="45.75" customHeight="1" thickBot="1" x14ac:dyDescent="0.3">
      <c r="B38" s="110" t="s">
        <v>166</v>
      </c>
      <c r="C38" s="186" t="s">
        <v>113</v>
      </c>
      <c r="D38" s="187"/>
      <c r="E38" s="181" t="s">
        <v>10</v>
      </c>
      <c r="F38" s="189"/>
      <c r="G38" s="181" t="s">
        <v>11</v>
      </c>
      <c r="H38" s="182"/>
      <c r="I38" s="49"/>
      <c r="J38" s="49"/>
      <c r="K38" s="49"/>
      <c r="L38" s="51"/>
      <c r="M38" s="200"/>
      <c r="N38" s="200"/>
    </row>
    <row r="39" spans="2:14" x14ac:dyDescent="0.25">
      <c r="B39" s="111" t="s">
        <v>12</v>
      </c>
      <c r="C39" s="139">
        <f>E39+G39</f>
        <v>1140828.6531657232</v>
      </c>
      <c r="D39" s="140"/>
      <c r="E39" s="143">
        <f>F26+F27+F28+F29+F30+F33+F31+F34+E16+F25</f>
        <v>1125042.3231657231</v>
      </c>
      <c r="F39" s="144"/>
      <c r="G39" s="143">
        <f>F32+G16</f>
        <v>15786.329999999998</v>
      </c>
      <c r="H39" s="145"/>
      <c r="I39" s="53"/>
      <c r="J39" s="53"/>
      <c r="K39" s="53"/>
      <c r="L39" s="55"/>
      <c r="N39" s="209"/>
    </row>
    <row r="40" spans="2:14" x14ac:dyDescent="0.25">
      <c r="B40" s="52" t="s">
        <v>13</v>
      </c>
      <c r="C40" s="141">
        <f>E40+G40</f>
        <v>490928.18000000005</v>
      </c>
      <c r="D40" s="142"/>
      <c r="E40" s="141">
        <f>E17+66124.28</f>
        <v>476648.80000000005</v>
      </c>
      <c r="F40" s="142"/>
      <c r="G40" s="141">
        <f>G17+3872.58</f>
        <v>14279.38</v>
      </c>
      <c r="H40" s="146"/>
      <c r="I40" s="53"/>
      <c r="J40" s="53"/>
      <c r="K40" s="53"/>
      <c r="L40" s="55"/>
      <c r="N40" s="209"/>
    </row>
    <row r="41" spans="2:14" x14ac:dyDescent="0.25">
      <c r="B41" s="54" t="s">
        <v>87</v>
      </c>
      <c r="C41" s="141">
        <f>E41+G41</f>
        <v>983769.31750534521</v>
      </c>
      <c r="D41" s="142"/>
      <c r="E41" s="150">
        <f>G26+G27+G28+G29+G30+G31+G33+G34+E18+G25</f>
        <v>954422.31750534521</v>
      </c>
      <c r="F41" s="151"/>
      <c r="G41" s="150">
        <f>G32+G18</f>
        <v>29347</v>
      </c>
      <c r="H41" s="152"/>
      <c r="I41" s="53"/>
      <c r="J41" s="53"/>
      <c r="K41" s="53"/>
      <c r="L41" s="55"/>
    </row>
    <row r="42" spans="2:14" ht="16.5" thickBot="1" x14ac:dyDescent="0.3">
      <c r="B42" s="64" t="s">
        <v>148</v>
      </c>
      <c r="C42" s="147">
        <f>E42+G42</f>
        <v>7500</v>
      </c>
      <c r="D42" s="148"/>
      <c r="E42" s="147">
        <f>E19+300</f>
        <v>7500</v>
      </c>
      <c r="F42" s="148"/>
      <c r="G42" s="147">
        <f>G19</f>
        <v>0</v>
      </c>
      <c r="H42" s="176"/>
      <c r="I42" s="53"/>
      <c r="J42" s="53"/>
      <c r="K42" s="53"/>
      <c r="L42" s="55"/>
    </row>
    <row r="43" spans="2:14" ht="28.5" customHeight="1" thickBot="1" x14ac:dyDescent="0.3">
      <c r="B43" s="13" t="s">
        <v>150</v>
      </c>
      <c r="C43" s="156">
        <f>E43+G43</f>
        <v>-485341.13750534516</v>
      </c>
      <c r="D43" s="157"/>
      <c r="E43" s="154">
        <f>E40+E42-E41</f>
        <v>-470273.51750534517</v>
      </c>
      <c r="F43" s="155"/>
      <c r="G43" s="154">
        <f>G40-G41</f>
        <v>-15067.62</v>
      </c>
      <c r="H43" s="158"/>
      <c r="I43" s="53"/>
      <c r="J43" s="53"/>
      <c r="K43" s="53"/>
      <c r="L43" s="55"/>
    </row>
    <row r="44" spans="2:14" ht="24.75" customHeight="1" x14ac:dyDescent="0.25">
      <c r="B44" s="128" t="s">
        <v>88</v>
      </c>
      <c r="C44" s="149" t="s">
        <v>155</v>
      </c>
      <c r="D44" s="149"/>
      <c r="E44" s="149"/>
      <c r="F44" s="153" t="s">
        <v>14</v>
      </c>
      <c r="G44" s="153"/>
      <c r="H44" s="53"/>
      <c r="I44" s="53"/>
      <c r="J44" s="53"/>
      <c r="K44" s="53"/>
      <c r="L44" s="55"/>
    </row>
    <row r="45" spans="2:14" ht="9" customHeight="1" x14ac:dyDescent="0.25">
      <c r="B45" s="128"/>
      <c r="C45" s="128"/>
      <c r="D45" s="128"/>
      <c r="E45" s="127"/>
      <c r="F45" s="160"/>
      <c r="G45" s="160"/>
      <c r="H45" s="128"/>
      <c r="I45" s="128"/>
      <c r="J45" s="128"/>
      <c r="K45" s="128"/>
      <c r="L45" s="2"/>
      <c r="M45" s="199"/>
      <c r="N45" s="199"/>
    </row>
    <row r="46" spans="2:14" ht="15" customHeight="1" x14ac:dyDescent="0.25">
      <c r="B46" s="128" t="s">
        <v>89</v>
      </c>
      <c r="C46" s="149" t="s">
        <v>155</v>
      </c>
      <c r="D46" s="149"/>
      <c r="E46" s="149"/>
      <c r="F46" s="153" t="s">
        <v>100</v>
      </c>
      <c r="G46" s="153"/>
      <c r="H46" s="129"/>
      <c r="I46" s="129"/>
      <c r="J46" s="129"/>
      <c r="K46" s="129"/>
      <c r="L46" s="2"/>
      <c r="M46" s="199"/>
      <c r="N46" s="199"/>
    </row>
    <row r="47" spans="2:14" ht="9.75" customHeight="1" x14ac:dyDescent="0.25">
      <c r="B47" s="128"/>
      <c r="C47" s="128"/>
      <c r="D47" s="128"/>
      <c r="E47" s="127"/>
      <c r="F47" s="153"/>
      <c r="G47" s="153"/>
      <c r="H47" s="128"/>
      <c r="I47" s="128"/>
      <c r="J47" s="128"/>
      <c r="K47" s="128"/>
      <c r="L47" s="2"/>
      <c r="M47" s="199"/>
      <c r="N47" s="199"/>
    </row>
    <row r="48" spans="2:14" ht="13.5" customHeight="1" x14ac:dyDescent="0.25">
      <c r="B48" s="128" t="s">
        <v>90</v>
      </c>
      <c r="C48" s="149" t="s">
        <v>155</v>
      </c>
      <c r="D48" s="149"/>
      <c r="E48" s="149"/>
      <c r="F48" s="153" t="s">
        <v>114</v>
      </c>
      <c r="G48" s="153"/>
      <c r="H48" s="128"/>
      <c r="I48" s="128"/>
      <c r="J48" s="128"/>
      <c r="K48" s="128"/>
    </row>
    <row r="49" spans="2:11" ht="8.25" customHeight="1" x14ac:dyDescent="0.25">
      <c r="B49" s="56"/>
      <c r="C49" s="56"/>
      <c r="D49" s="56"/>
      <c r="E49" s="127"/>
      <c r="F49" s="57"/>
      <c r="G49" s="58"/>
      <c r="H49" s="128"/>
      <c r="I49" s="128"/>
      <c r="J49" s="128"/>
      <c r="K49" s="128"/>
    </row>
    <row r="50" spans="2:11" ht="14.25" customHeight="1" x14ac:dyDescent="0.25">
      <c r="B50" s="128" t="s">
        <v>91</v>
      </c>
      <c r="C50" s="149" t="s">
        <v>155</v>
      </c>
      <c r="D50" s="149"/>
      <c r="E50" s="149"/>
      <c r="F50" s="153" t="s">
        <v>114</v>
      </c>
      <c r="G50" s="153"/>
      <c r="H50" s="59"/>
      <c r="I50" s="59"/>
      <c r="J50" s="59"/>
      <c r="K50" s="59"/>
    </row>
    <row r="51" spans="2:11" x14ac:dyDescent="0.25">
      <c r="B51" s="86"/>
      <c r="C51" s="86"/>
      <c r="D51" s="86"/>
      <c r="E51" s="129"/>
      <c r="F51" s="153"/>
      <c r="G51" s="153"/>
    </row>
    <row r="52" spans="2:11" ht="7.5" customHeight="1" x14ac:dyDescent="0.25">
      <c r="C52" s="3"/>
      <c r="D52" s="3"/>
      <c r="E52" s="131"/>
      <c r="F52" s="179"/>
      <c r="G52" s="179"/>
    </row>
    <row r="53" spans="2:11" x14ac:dyDescent="0.25">
      <c r="D53" s="135"/>
    </row>
  </sheetData>
  <mergeCells count="62">
    <mergeCell ref="F52:G52"/>
    <mergeCell ref="F51:G51"/>
    <mergeCell ref="F47:G47"/>
    <mergeCell ref="F48:G48"/>
    <mergeCell ref="C44:E44"/>
    <mergeCell ref="F44:G44"/>
    <mergeCell ref="C46:E46"/>
    <mergeCell ref="C48:E48"/>
    <mergeCell ref="C50:E50"/>
    <mergeCell ref="F50:G50"/>
    <mergeCell ref="F45:G45"/>
    <mergeCell ref="F46:G46"/>
    <mergeCell ref="E41:F41"/>
    <mergeCell ref="E43:F43"/>
    <mergeCell ref="E38:F38"/>
    <mergeCell ref="G38:H38"/>
    <mergeCell ref="E39:F39"/>
    <mergeCell ref="G39:H39"/>
    <mergeCell ref="E40:F40"/>
    <mergeCell ref="G40:H40"/>
    <mergeCell ref="G41:H41"/>
    <mergeCell ref="G43:H43"/>
    <mergeCell ref="E42:F42"/>
    <mergeCell ref="G42:H42"/>
    <mergeCell ref="B1:H1"/>
    <mergeCell ref="B14:H14"/>
    <mergeCell ref="C15:D15"/>
    <mergeCell ref="E15:F15"/>
    <mergeCell ref="G15:H15"/>
    <mergeCell ref="B2:H3"/>
    <mergeCell ref="D5:E5"/>
    <mergeCell ref="H23:H24"/>
    <mergeCell ref="E20:F20"/>
    <mergeCell ref="G20:H20"/>
    <mergeCell ref="C16:D16"/>
    <mergeCell ref="E16:F16"/>
    <mergeCell ref="G16:H16"/>
    <mergeCell ref="C17:D17"/>
    <mergeCell ref="E17:F17"/>
    <mergeCell ref="G17:H17"/>
    <mergeCell ref="M22:M23"/>
    <mergeCell ref="B37:H37"/>
    <mergeCell ref="C42:D42"/>
    <mergeCell ref="N22:N23"/>
    <mergeCell ref="C18:D18"/>
    <mergeCell ref="E18:F18"/>
    <mergeCell ref="G18:H18"/>
    <mergeCell ref="C19:D19"/>
    <mergeCell ref="E19:F19"/>
    <mergeCell ref="G19:H19"/>
    <mergeCell ref="B22:H22"/>
    <mergeCell ref="B23:B24"/>
    <mergeCell ref="C23:C24"/>
    <mergeCell ref="D23:D24"/>
    <mergeCell ref="E23:E24"/>
    <mergeCell ref="F23:G23"/>
    <mergeCell ref="C43:D43"/>
    <mergeCell ref="C40:D40"/>
    <mergeCell ref="C41:D41"/>
    <mergeCell ref="C20:D20"/>
    <mergeCell ref="C38:D38"/>
    <mergeCell ref="C39:D39"/>
  </mergeCells>
  <printOptions horizontalCentered="1"/>
  <pageMargins left="0.23622047244094491" right="0.19685039370078741" top="0.15748031496062992" bottom="0.23622047244094491" header="0.31496062992125984" footer="0.24"/>
  <pageSetup paperSize="9" scale="4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50"/>
  <sheetViews>
    <sheetView zoomScale="110" zoomScaleNormal="110" workbookViewId="0">
      <selection activeCell="D65" sqref="D65"/>
    </sheetView>
  </sheetViews>
  <sheetFormatPr defaultColWidth="9.140625" defaultRowHeight="15.75" outlineLevelRow="1" x14ac:dyDescent="0.25"/>
  <cols>
    <col min="1" max="1" width="2.85546875" style="3" customWidth="1"/>
    <col min="2" max="2" width="57.42578125" style="3" customWidth="1"/>
    <col min="3" max="3" width="21.140625" style="75" customWidth="1"/>
    <col min="4" max="4" width="9.28515625" style="136" customWidth="1"/>
    <col min="5" max="5" width="10.28515625" style="136" customWidth="1"/>
    <col min="6" max="6" width="11" style="3" customWidth="1"/>
    <col min="7" max="7" width="10.28515625" style="3" customWidth="1"/>
    <col min="8" max="8" width="10.5703125" style="3" customWidth="1"/>
    <col min="9" max="9" width="12.28515625" style="3" customWidth="1"/>
    <col min="10" max="12" width="9.140625" style="3"/>
    <col min="13" max="13" width="13.7109375" style="194" customWidth="1"/>
    <col min="14" max="14" width="13.42578125" style="194" customWidth="1"/>
    <col min="15" max="16384" width="9.140625" style="3"/>
  </cols>
  <sheetData>
    <row r="1" spans="2:9" x14ac:dyDescent="0.25">
      <c r="B1" s="161" t="s">
        <v>116</v>
      </c>
      <c r="C1" s="161"/>
      <c r="D1" s="161"/>
      <c r="E1" s="161"/>
      <c r="F1" s="161"/>
      <c r="G1" s="161"/>
      <c r="H1" s="161"/>
    </row>
    <row r="2" spans="2:9" ht="19.5" customHeight="1" x14ac:dyDescent="0.25">
      <c r="B2" s="185" t="s">
        <v>162</v>
      </c>
      <c r="C2" s="185"/>
      <c r="D2" s="185"/>
      <c r="E2" s="185"/>
      <c r="F2" s="185"/>
      <c r="G2" s="185"/>
      <c r="H2" s="185"/>
    </row>
    <row r="3" spans="2:9" ht="20.25" customHeight="1" x14ac:dyDescent="0.25">
      <c r="B3" s="185"/>
      <c r="C3" s="185"/>
      <c r="D3" s="185"/>
      <c r="E3" s="185"/>
      <c r="F3" s="185"/>
      <c r="G3" s="185"/>
      <c r="H3" s="185"/>
    </row>
    <row r="4" spans="2:9" ht="16.5" customHeight="1" x14ac:dyDescent="0.25"/>
    <row r="5" spans="2:9" x14ac:dyDescent="0.25">
      <c r="B5" s="3" t="s">
        <v>0</v>
      </c>
      <c r="D5" s="172" t="s">
        <v>62</v>
      </c>
      <c r="E5" s="172"/>
    </row>
    <row r="6" spans="2:9" x14ac:dyDescent="0.25">
      <c r="B6" s="3" t="s">
        <v>1</v>
      </c>
      <c r="D6" s="126">
        <v>1973</v>
      </c>
      <c r="E6" s="126"/>
    </row>
    <row r="7" spans="2:9" hidden="1" outlineLevel="1" x14ac:dyDescent="0.25">
      <c r="B7" s="3" t="s">
        <v>2</v>
      </c>
      <c r="D7" s="126">
        <v>2</v>
      </c>
      <c r="E7" s="126"/>
    </row>
    <row r="8" spans="2:9" hidden="1" outlineLevel="1" x14ac:dyDescent="0.25">
      <c r="B8" s="3" t="s">
        <v>3</v>
      </c>
      <c r="D8" s="126">
        <v>15</v>
      </c>
      <c r="E8" s="126"/>
    </row>
    <row r="9" spans="2:9" ht="30.75" hidden="1" customHeight="1" outlineLevel="1" x14ac:dyDescent="0.25">
      <c r="B9" s="17" t="s">
        <v>4</v>
      </c>
      <c r="C9" s="76"/>
      <c r="D9" s="126" t="s">
        <v>63</v>
      </c>
      <c r="E9" s="126"/>
    </row>
    <row r="10" spans="2:9" collapsed="1" x14ac:dyDescent="0.25">
      <c r="B10" s="3" t="s">
        <v>5</v>
      </c>
      <c r="D10" s="126" t="s">
        <v>140</v>
      </c>
      <c r="E10" s="126"/>
      <c r="I10" s="12"/>
    </row>
    <row r="11" spans="2:9" hidden="1" outlineLevel="1" x14ac:dyDescent="0.25">
      <c r="B11" s="3" t="s">
        <v>6</v>
      </c>
      <c r="D11" s="126" t="s">
        <v>7</v>
      </c>
      <c r="E11" s="126"/>
    </row>
    <row r="12" spans="2:9" ht="30.75" hidden="1" customHeight="1" outlineLevel="1" x14ac:dyDescent="0.25">
      <c r="B12" s="17" t="s">
        <v>8</v>
      </c>
      <c r="C12" s="76"/>
      <c r="D12" s="138" t="s">
        <v>64</v>
      </c>
      <c r="E12" s="126"/>
      <c r="I12" s="12"/>
    </row>
    <row r="13" spans="2:9" ht="10.5" customHeight="1" collapsed="1" x14ac:dyDescent="0.25">
      <c r="B13" s="17"/>
      <c r="C13" s="76"/>
      <c r="D13" s="138"/>
      <c r="E13" s="126"/>
      <c r="I13" s="12"/>
    </row>
    <row r="14" spans="2:9" ht="16.5" thickBot="1" x14ac:dyDescent="0.3">
      <c r="B14" s="188" t="s">
        <v>157</v>
      </c>
      <c r="C14" s="188"/>
      <c r="D14" s="188"/>
      <c r="E14" s="188"/>
      <c r="F14" s="188"/>
      <c r="G14" s="188"/>
      <c r="H14" s="188"/>
      <c r="I14" s="12"/>
    </row>
    <row r="15" spans="2:9" ht="45" customHeight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  <c r="I15" s="12"/>
    </row>
    <row r="16" spans="2:9" x14ac:dyDescent="0.25">
      <c r="B16" s="111" t="s">
        <v>12</v>
      </c>
      <c r="C16" s="139">
        <v>554541.89000000013</v>
      </c>
      <c r="D16" s="175"/>
      <c r="E16" s="143">
        <v>433569.89000000007</v>
      </c>
      <c r="F16" s="144"/>
      <c r="G16" s="143">
        <v>120972</v>
      </c>
      <c r="H16" s="145"/>
      <c r="I16" s="12"/>
    </row>
    <row r="17" spans="2:14" x14ac:dyDescent="0.25">
      <c r="B17" s="52" t="s">
        <v>13</v>
      </c>
      <c r="C17" s="141">
        <v>517529.33999999997</v>
      </c>
      <c r="D17" s="173"/>
      <c r="E17" s="141">
        <v>404753.04999999993</v>
      </c>
      <c r="F17" s="142"/>
      <c r="G17" s="141">
        <v>112776.29000000001</v>
      </c>
      <c r="H17" s="146"/>
      <c r="I17" s="12"/>
    </row>
    <row r="18" spans="2:14" x14ac:dyDescent="0.25">
      <c r="B18" s="54" t="s">
        <v>87</v>
      </c>
      <c r="C18" s="141">
        <v>625700.12079999992</v>
      </c>
      <c r="D18" s="173"/>
      <c r="E18" s="150">
        <v>455912.12079999998</v>
      </c>
      <c r="F18" s="151"/>
      <c r="G18" s="150">
        <v>169788</v>
      </c>
      <c r="H18" s="152"/>
      <c r="I18" s="12"/>
    </row>
    <row r="19" spans="2:14" ht="16.5" thickBot="1" x14ac:dyDescent="0.3">
      <c r="B19" s="64" t="s">
        <v>148</v>
      </c>
      <c r="C19" s="147">
        <v>7200</v>
      </c>
      <c r="D19" s="174"/>
      <c r="E19" s="147">
        <v>7200</v>
      </c>
      <c r="F19" s="148"/>
      <c r="G19" s="147">
        <v>0</v>
      </c>
      <c r="H19" s="176"/>
      <c r="I19" s="12"/>
    </row>
    <row r="20" spans="2:14" ht="32.25" customHeight="1" thickBot="1" x14ac:dyDescent="0.3">
      <c r="B20" s="13" t="s">
        <v>149</v>
      </c>
      <c r="C20" s="156">
        <f>E20+G20</f>
        <v>-100970.78080000004</v>
      </c>
      <c r="D20" s="157"/>
      <c r="E20" s="154">
        <f>E17+E19-E18</f>
        <v>-43959.070800000045</v>
      </c>
      <c r="F20" s="155"/>
      <c r="G20" s="154">
        <f>G17-G18</f>
        <v>-57011.709999999992</v>
      </c>
      <c r="H20" s="158"/>
      <c r="I20" s="12"/>
    </row>
    <row r="21" spans="2:14" x14ac:dyDescent="0.25">
      <c r="B21" s="17"/>
      <c r="C21" s="76"/>
      <c r="D21" s="138"/>
      <c r="E21" s="126"/>
      <c r="I21" s="12"/>
    </row>
    <row r="22" spans="2:14" ht="24.75" customHeight="1" thickBot="1" x14ac:dyDescent="0.3">
      <c r="B22" s="193" t="s">
        <v>163</v>
      </c>
      <c r="C22" s="193"/>
      <c r="D22" s="193"/>
      <c r="E22" s="193"/>
      <c r="F22" s="193"/>
      <c r="G22" s="193"/>
      <c r="H22" s="193"/>
      <c r="I22" s="19"/>
      <c r="J22" s="19"/>
      <c r="L22" s="12"/>
      <c r="M22" s="195" t="s">
        <v>151</v>
      </c>
      <c r="N22" s="195" t="s">
        <v>152</v>
      </c>
    </row>
    <row r="23" spans="2:14" ht="27.75" customHeight="1" x14ac:dyDescent="0.25">
      <c r="B23" s="162" t="s">
        <v>101</v>
      </c>
      <c r="C23" s="164" t="s">
        <v>102</v>
      </c>
      <c r="D23" s="164" t="s">
        <v>103</v>
      </c>
      <c r="E23" s="166" t="s">
        <v>164</v>
      </c>
      <c r="F23" s="168" t="s">
        <v>104</v>
      </c>
      <c r="G23" s="169"/>
      <c r="H23" s="170" t="s">
        <v>123</v>
      </c>
      <c r="I23" s="20"/>
      <c r="J23" s="20"/>
      <c r="L23" s="12"/>
      <c r="M23" s="196"/>
      <c r="N23" s="196"/>
    </row>
    <row r="24" spans="2:14" ht="45" customHeight="1" thickBot="1" x14ac:dyDescent="0.3">
      <c r="B24" s="163"/>
      <c r="C24" s="165"/>
      <c r="D24" s="165"/>
      <c r="E24" s="167"/>
      <c r="F24" s="21" t="s">
        <v>92</v>
      </c>
      <c r="G24" s="22" t="s">
        <v>93</v>
      </c>
      <c r="H24" s="171"/>
      <c r="I24" s="20"/>
      <c r="J24" s="20"/>
      <c r="M24" s="197">
        <v>72717.72</v>
      </c>
      <c r="N24" s="197">
        <f>M24*1.01</f>
        <v>73444.897200000007</v>
      </c>
    </row>
    <row r="25" spans="2:14" ht="50.25" customHeight="1" x14ac:dyDescent="0.25">
      <c r="B25" s="23" t="s">
        <v>105</v>
      </c>
      <c r="C25" s="7" t="s">
        <v>121</v>
      </c>
      <c r="D25" s="24" t="s">
        <v>107</v>
      </c>
      <c r="E25" s="25">
        <v>1.06</v>
      </c>
      <c r="F25" s="26">
        <f>$M$24/$M$25*E25</f>
        <v>7601.6551479289938</v>
      </c>
      <c r="G25" s="27">
        <f>$N$24/$N$25*E25</f>
        <v>7677.6716994082844</v>
      </c>
      <c r="H25" s="28">
        <f>F25-G25</f>
        <v>-76.016551479290683</v>
      </c>
      <c r="I25" s="29"/>
      <c r="J25" s="29"/>
      <c r="K25" s="134"/>
      <c r="L25" s="31"/>
      <c r="M25" s="198">
        <f>E34-E32</f>
        <v>10.14</v>
      </c>
      <c r="N25" s="198">
        <f>E34-E32</f>
        <v>10.14</v>
      </c>
    </row>
    <row r="26" spans="2:14" ht="56.25" x14ac:dyDescent="0.25">
      <c r="B26" s="32" t="s">
        <v>99</v>
      </c>
      <c r="C26" s="7" t="s">
        <v>121</v>
      </c>
      <c r="D26" s="24" t="s">
        <v>107</v>
      </c>
      <c r="E26" s="8">
        <v>1.19</v>
      </c>
      <c r="F26" s="26">
        <f t="shared" ref="F26:F33" si="0">$M$24/$M$25*E26</f>
        <v>8533.9336094674545</v>
      </c>
      <c r="G26" s="27">
        <f t="shared" ref="G26:G28" si="1">$N$24/$N$25*E26</f>
        <v>8619.2729455621302</v>
      </c>
      <c r="H26" s="28">
        <f t="shared" ref="H26:H31" si="2">F26-G26</f>
        <v>-85.339336094675673</v>
      </c>
      <c r="I26" s="29"/>
      <c r="J26" s="29"/>
      <c r="K26" s="2"/>
      <c r="L26" s="2"/>
      <c r="M26" s="199"/>
      <c r="N26" s="199"/>
    </row>
    <row r="27" spans="2:14" ht="52.5" customHeight="1" x14ac:dyDescent="0.25">
      <c r="B27" s="33" t="s">
        <v>94</v>
      </c>
      <c r="C27" s="7" t="s">
        <v>121</v>
      </c>
      <c r="D27" s="24" t="s">
        <v>107</v>
      </c>
      <c r="E27" s="8">
        <v>0.32</v>
      </c>
      <c r="F27" s="26">
        <f t="shared" si="0"/>
        <v>2294.8392899408282</v>
      </c>
      <c r="G27" s="27">
        <f t="shared" si="1"/>
        <v>2317.7876828402368</v>
      </c>
      <c r="H27" s="28">
        <f t="shared" si="2"/>
        <v>-22.948392899408645</v>
      </c>
      <c r="I27" s="29"/>
      <c r="J27" s="29"/>
      <c r="L27" s="12"/>
    </row>
    <row r="28" spans="2:14" ht="25.5" x14ac:dyDescent="0.25">
      <c r="B28" s="33" t="s">
        <v>108</v>
      </c>
      <c r="C28" s="34" t="s">
        <v>109</v>
      </c>
      <c r="D28" s="24" t="s">
        <v>107</v>
      </c>
      <c r="E28" s="8">
        <v>0</v>
      </c>
      <c r="F28" s="26">
        <f t="shared" si="0"/>
        <v>0</v>
      </c>
      <c r="G28" s="27">
        <f t="shared" si="1"/>
        <v>0</v>
      </c>
      <c r="H28" s="28">
        <f t="shared" si="2"/>
        <v>0</v>
      </c>
      <c r="I28" s="29"/>
      <c r="J28" s="29"/>
      <c r="L28" s="12"/>
    </row>
    <row r="29" spans="2:14" ht="51" x14ac:dyDescent="0.25">
      <c r="B29" s="32" t="s">
        <v>95</v>
      </c>
      <c r="C29" s="7" t="s">
        <v>122</v>
      </c>
      <c r="D29" s="24" t="s">
        <v>107</v>
      </c>
      <c r="E29" s="8">
        <v>1.18</v>
      </c>
      <c r="F29" s="26">
        <f t="shared" si="0"/>
        <v>8462.2198816568034</v>
      </c>
      <c r="G29" s="27">
        <f t="shared" ref="G29:G30" si="3">$N$24/$N$25*E29</f>
        <v>8546.8420804733723</v>
      </c>
      <c r="H29" s="28">
        <f t="shared" si="2"/>
        <v>-84.622198816568925</v>
      </c>
      <c r="I29" s="29"/>
      <c r="J29" s="29"/>
    </row>
    <row r="30" spans="2:14" ht="236.25" customHeight="1" x14ac:dyDescent="0.25">
      <c r="B30" s="32" t="s">
        <v>120</v>
      </c>
      <c r="C30" s="35" t="s">
        <v>110</v>
      </c>
      <c r="D30" s="24" t="s">
        <v>107</v>
      </c>
      <c r="E30" s="8">
        <v>5.61</v>
      </c>
      <c r="F30" s="26">
        <f t="shared" si="0"/>
        <v>40231.401301775149</v>
      </c>
      <c r="G30" s="27">
        <f t="shared" si="3"/>
        <v>40633.715314792906</v>
      </c>
      <c r="H30" s="28">
        <f t="shared" si="2"/>
        <v>-402.31401301775622</v>
      </c>
      <c r="I30" s="29"/>
      <c r="J30" s="29"/>
      <c r="K30" s="2"/>
      <c r="L30" s="1"/>
      <c r="M30" s="199"/>
      <c r="N30" s="199"/>
    </row>
    <row r="31" spans="2:14" ht="122.25" customHeight="1" x14ac:dyDescent="0.25">
      <c r="B31" s="32" t="s">
        <v>111</v>
      </c>
      <c r="C31" s="7" t="s">
        <v>121</v>
      </c>
      <c r="D31" s="24" t="s">
        <v>107</v>
      </c>
      <c r="E31" s="8">
        <v>0.24</v>
      </c>
      <c r="F31" s="26">
        <f t="shared" si="0"/>
        <v>1721.1294674556211</v>
      </c>
      <c r="G31" s="27">
        <f t="shared" ref="G31" si="4">$N$24/$N$25*E31</f>
        <v>1738.3407621301776</v>
      </c>
      <c r="H31" s="28">
        <f t="shared" si="2"/>
        <v>-17.211294674556484</v>
      </c>
      <c r="I31" s="29"/>
      <c r="J31" s="29"/>
    </row>
    <row r="32" spans="2:14" ht="56.25" x14ac:dyDescent="0.25">
      <c r="B32" s="33" t="s">
        <v>112</v>
      </c>
      <c r="C32" s="7" t="s">
        <v>121</v>
      </c>
      <c r="D32" s="24" t="s">
        <v>107</v>
      </c>
      <c r="E32" s="8">
        <v>3.75</v>
      </c>
      <c r="F32" s="26">
        <v>27628.31</v>
      </c>
      <c r="G32" s="5">
        <v>1370</v>
      </c>
      <c r="H32" s="28">
        <f>F32-G32</f>
        <v>26258.31</v>
      </c>
      <c r="I32" s="29"/>
      <c r="J32" s="29"/>
      <c r="L32" s="12"/>
    </row>
    <row r="33" spans="2:14" ht="16.5" thickBot="1" x14ac:dyDescent="0.3">
      <c r="B33" s="36" t="s">
        <v>97</v>
      </c>
      <c r="C33" s="37" t="s">
        <v>110</v>
      </c>
      <c r="D33" s="38" t="s">
        <v>107</v>
      </c>
      <c r="E33" s="39">
        <v>0.54</v>
      </c>
      <c r="F33" s="26">
        <f t="shared" si="0"/>
        <v>3872.541301775148</v>
      </c>
      <c r="G33" s="27">
        <f t="shared" ref="G33" si="5">$N$24/$N$25*E33</f>
        <v>3911.2667147929001</v>
      </c>
      <c r="H33" s="40">
        <f>F33-G33</f>
        <v>-38.725413017752089</v>
      </c>
      <c r="I33" s="29"/>
      <c r="J33" s="29"/>
    </row>
    <row r="34" spans="2:14" ht="16.5" thickBot="1" x14ac:dyDescent="0.3">
      <c r="B34" s="41" t="s">
        <v>98</v>
      </c>
      <c r="C34" s="42"/>
      <c r="D34" s="42"/>
      <c r="E34" s="43">
        <f>SUM(E25:E33)</f>
        <v>13.89</v>
      </c>
      <c r="F34" s="44">
        <f>SUM(F25:F33)</f>
        <v>100346.03</v>
      </c>
      <c r="G34" s="45">
        <f>SUM(G25:G33)</f>
        <v>74814.897200000007</v>
      </c>
      <c r="H34" s="46">
        <f>SUM(H25:H33)</f>
        <v>25531.132799999992</v>
      </c>
      <c r="I34" s="47"/>
      <c r="J34" s="47"/>
    </row>
    <row r="35" spans="2:14" x14ac:dyDescent="0.25">
      <c r="B35" s="12"/>
      <c r="C35" s="12"/>
      <c r="D35" s="12"/>
      <c r="E35" s="135"/>
      <c r="F35" s="135"/>
      <c r="G35" s="135"/>
      <c r="H35" s="136"/>
      <c r="I35" s="136"/>
      <c r="J35" s="136"/>
    </row>
    <row r="36" spans="2:14" ht="16.5" customHeight="1" thickBot="1" x14ac:dyDescent="0.3">
      <c r="B36" s="188" t="s">
        <v>165</v>
      </c>
      <c r="C36" s="188"/>
      <c r="D36" s="188"/>
      <c r="E36" s="188"/>
      <c r="F36" s="188"/>
      <c r="G36" s="188"/>
      <c r="H36" s="188"/>
      <c r="I36" s="48"/>
      <c r="J36" s="48"/>
    </row>
    <row r="37" spans="2:14" ht="44.25" customHeight="1" thickBot="1" x14ac:dyDescent="0.3">
      <c r="B37" s="110" t="s">
        <v>166</v>
      </c>
      <c r="C37" s="186" t="s">
        <v>113</v>
      </c>
      <c r="D37" s="187"/>
      <c r="E37" s="181" t="s">
        <v>10</v>
      </c>
      <c r="F37" s="189"/>
      <c r="G37" s="181" t="s">
        <v>11</v>
      </c>
      <c r="H37" s="182"/>
      <c r="I37" s="49"/>
      <c r="J37" s="49"/>
      <c r="K37" s="50"/>
      <c r="L37" s="51"/>
      <c r="M37" s="200"/>
      <c r="N37" s="200"/>
    </row>
    <row r="38" spans="2:14" x14ac:dyDescent="0.25">
      <c r="B38" s="111" t="s">
        <v>12</v>
      </c>
      <c r="C38" s="139">
        <f>E38+G38</f>
        <v>654887.92000000004</v>
      </c>
      <c r="D38" s="140"/>
      <c r="E38" s="143">
        <f>F26+F27+F28+F29+F30+F31+F33+E16+F25</f>
        <v>506287.61000000004</v>
      </c>
      <c r="F38" s="144"/>
      <c r="G38" s="143">
        <f>F32+G16</f>
        <v>148600.31</v>
      </c>
      <c r="H38" s="145"/>
      <c r="I38" s="53"/>
      <c r="J38" s="53"/>
      <c r="K38" s="9"/>
      <c r="L38" s="9"/>
      <c r="M38" s="201"/>
    </row>
    <row r="39" spans="2:14" x14ac:dyDescent="0.25">
      <c r="B39" s="52" t="s">
        <v>13</v>
      </c>
      <c r="C39" s="141">
        <f>E39+G39</f>
        <v>610352.46</v>
      </c>
      <c r="D39" s="142"/>
      <c r="E39" s="141">
        <f>E17+67266.09</f>
        <v>472019.1399999999</v>
      </c>
      <c r="F39" s="142"/>
      <c r="G39" s="141">
        <f>G17+25557.03</f>
        <v>138333.32</v>
      </c>
      <c r="H39" s="146"/>
      <c r="I39" s="53"/>
      <c r="J39" s="53"/>
      <c r="K39" s="11"/>
      <c r="L39" s="9"/>
      <c r="M39" s="201"/>
    </row>
    <row r="40" spans="2:14" x14ac:dyDescent="0.25">
      <c r="B40" s="54" t="s">
        <v>87</v>
      </c>
      <c r="C40" s="141">
        <f>E40+G40</f>
        <v>700515.01800000004</v>
      </c>
      <c r="D40" s="142"/>
      <c r="E40" s="150">
        <f>G26+G27+G28+G29+G30+G31+G33+E18+G25</f>
        <v>529357.01800000004</v>
      </c>
      <c r="F40" s="151"/>
      <c r="G40" s="150">
        <f>G32+G18</f>
        <v>171158</v>
      </c>
      <c r="H40" s="152"/>
      <c r="I40" s="53"/>
      <c r="J40" s="53"/>
      <c r="K40" s="55"/>
      <c r="L40" s="55"/>
    </row>
    <row r="41" spans="2:14" ht="16.5" thickBot="1" x14ac:dyDescent="0.3">
      <c r="B41" s="64" t="s">
        <v>148</v>
      </c>
      <c r="C41" s="147">
        <f>E41+G41</f>
        <v>7500</v>
      </c>
      <c r="D41" s="148"/>
      <c r="E41" s="147">
        <f>E19+300</f>
        <v>7500</v>
      </c>
      <c r="F41" s="148"/>
      <c r="G41" s="147">
        <f>G19</f>
        <v>0</v>
      </c>
      <c r="H41" s="176"/>
      <c r="I41" s="53"/>
      <c r="J41" s="53"/>
      <c r="K41" s="55"/>
      <c r="L41" s="55"/>
    </row>
    <row r="42" spans="2:14" ht="29.25" customHeight="1" thickBot="1" x14ac:dyDescent="0.3">
      <c r="B42" s="13" t="s">
        <v>150</v>
      </c>
      <c r="C42" s="156">
        <f>E42+G42</f>
        <v>-82662.558000000136</v>
      </c>
      <c r="D42" s="157"/>
      <c r="E42" s="154">
        <f>E39+E41-E40</f>
        <v>-49837.878000000142</v>
      </c>
      <c r="F42" s="155"/>
      <c r="G42" s="154">
        <f>G39-G40</f>
        <v>-32824.679999999993</v>
      </c>
      <c r="H42" s="158"/>
      <c r="I42" s="53"/>
      <c r="J42" s="53"/>
      <c r="K42" s="55"/>
      <c r="L42" s="55"/>
    </row>
    <row r="43" spans="2:14" ht="34.5" customHeight="1" x14ac:dyDescent="0.25">
      <c r="B43" s="128" t="s">
        <v>88</v>
      </c>
      <c r="C43" s="149" t="s">
        <v>155</v>
      </c>
      <c r="D43" s="149"/>
      <c r="E43" s="149"/>
      <c r="F43" s="153" t="s">
        <v>14</v>
      </c>
      <c r="G43" s="153"/>
      <c r="H43" s="128"/>
      <c r="I43" s="128"/>
      <c r="J43" s="128"/>
      <c r="K43" s="2"/>
      <c r="L43" s="2"/>
      <c r="M43" s="199"/>
      <c r="N43" s="199"/>
    </row>
    <row r="44" spans="2:14" ht="11.25" customHeight="1" x14ac:dyDescent="0.25">
      <c r="B44" s="128"/>
      <c r="C44" s="128"/>
      <c r="D44" s="128"/>
      <c r="E44" s="127"/>
      <c r="F44" s="160"/>
      <c r="G44" s="160"/>
      <c r="H44" s="129"/>
      <c r="I44" s="129"/>
      <c r="J44" s="129"/>
      <c r="K44" s="2"/>
      <c r="L44" s="2"/>
      <c r="M44" s="199"/>
      <c r="N44" s="199"/>
    </row>
    <row r="45" spans="2:14" x14ac:dyDescent="0.25">
      <c r="B45" s="128" t="s">
        <v>89</v>
      </c>
      <c r="C45" s="149" t="s">
        <v>155</v>
      </c>
      <c r="D45" s="149"/>
      <c r="E45" s="149"/>
      <c r="F45" s="153" t="s">
        <v>100</v>
      </c>
      <c r="G45" s="153"/>
      <c r="H45" s="128"/>
      <c r="I45" s="128"/>
      <c r="J45" s="128"/>
      <c r="K45" s="2"/>
      <c r="L45" s="2"/>
      <c r="M45" s="199"/>
      <c r="N45" s="199"/>
    </row>
    <row r="46" spans="2:14" ht="9.75" customHeight="1" x14ac:dyDescent="0.25">
      <c r="B46" s="128"/>
      <c r="C46" s="128"/>
      <c r="D46" s="128"/>
      <c r="E46" s="127"/>
      <c r="F46" s="153"/>
      <c r="G46" s="153"/>
      <c r="H46" s="128"/>
      <c r="I46" s="128"/>
      <c r="J46" s="128"/>
    </row>
    <row r="47" spans="2:14" x14ac:dyDescent="0.25">
      <c r="B47" s="128" t="s">
        <v>90</v>
      </c>
      <c r="C47" s="149" t="s">
        <v>155</v>
      </c>
      <c r="D47" s="149"/>
      <c r="E47" s="149"/>
      <c r="F47" s="153" t="s">
        <v>114</v>
      </c>
      <c r="G47" s="153"/>
      <c r="H47" s="128"/>
      <c r="I47" s="128"/>
      <c r="J47" s="128"/>
    </row>
    <row r="48" spans="2:14" ht="8.25" customHeight="1" x14ac:dyDescent="0.25">
      <c r="B48" s="56"/>
      <c r="C48" s="56"/>
      <c r="D48" s="56"/>
      <c r="E48" s="127"/>
      <c r="F48" s="57"/>
      <c r="G48" s="58"/>
      <c r="H48" s="59"/>
      <c r="I48" s="59"/>
      <c r="J48" s="59"/>
    </row>
    <row r="49" spans="2:7" x14ac:dyDescent="0.25">
      <c r="B49" s="128" t="s">
        <v>91</v>
      </c>
      <c r="C49" s="149" t="s">
        <v>155</v>
      </c>
      <c r="D49" s="149"/>
      <c r="E49" s="149"/>
      <c r="F49" s="153" t="s">
        <v>114</v>
      </c>
      <c r="G49" s="153"/>
    </row>
    <row r="50" spans="2:7" ht="9" customHeight="1" x14ac:dyDescent="0.25">
      <c r="B50" s="60"/>
      <c r="C50" s="60"/>
      <c r="D50" s="60"/>
      <c r="E50" s="127"/>
      <c r="F50" s="159"/>
      <c r="G50" s="159"/>
    </row>
  </sheetData>
  <mergeCells count="61">
    <mergeCell ref="B1:H1"/>
    <mergeCell ref="B22:H22"/>
    <mergeCell ref="B23:B24"/>
    <mergeCell ref="C23:C24"/>
    <mergeCell ref="D23:D24"/>
    <mergeCell ref="E23:E24"/>
    <mergeCell ref="F23:G23"/>
    <mergeCell ref="H23:H24"/>
    <mergeCell ref="B2:H3"/>
    <mergeCell ref="D5:E5"/>
    <mergeCell ref="B14:H14"/>
    <mergeCell ref="C15:D15"/>
    <mergeCell ref="E15:F15"/>
    <mergeCell ref="G15:H15"/>
    <mergeCell ref="C16:D16"/>
    <mergeCell ref="E16:F16"/>
    <mergeCell ref="F50:G50"/>
    <mergeCell ref="F46:G46"/>
    <mergeCell ref="E39:F39"/>
    <mergeCell ref="F47:G47"/>
    <mergeCell ref="E40:F40"/>
    <mergeCell ref="E41:F41"/>
    <mergeCell ref="F49:G49"/>
    <mergeCell ref="F43:G43"/>
    <mergeCell ref="F44:G44"/>
    <mergeCell ref="F45:G45"/>
    <mergeCell ref="G39:H39"/>
    <mergeCell ref="G40:H40"/>
    <mergeCell ref="G42:H42"/>
    <mergeCell ref="G41:H41"/>
    <mergeCell ref="C43:E43"/>
    <mergeCell ref="C45:E45"/>
    <mergeCell ref="G16:H16"/>
    <mergeCell ref="C17:D17"/>
    <mergeCell ref="E17:F17"/>
    <mergeCell ref="G17:H17"/>
    <mergeCell ref="M22:M23"/>
    <mergeCell ref="N22:N23"/>
    <mergeCell ref="C18:D18"/>
    <mergeCell ref="E18:F18"/>
    <mergeCell ref="G18:H18"/>
    <mergeCell ref="C19:D19"/>
    <mergeCell ref="E19:F19"/>
    <mergeCell ref="G19:H19"/>
    <mergeCell ref="G20:H20"/>
    <mergeCell ref="C49:E49"/>
    <mergeCell ref="C41:D41"/>
    <mergeCell ref="C42:D42"/>
    <mergeCell ref="C20:D20"/>
    <mergeCell ref="E20:F20"/>
    <mergeCell ref="B36:H36"/>
    <mergeCell ref="E37:F37"/>
    <mergeCell ref="G37:H37"/>
    <mergeCell ref="G38:H38"/>
    <mergeCell ref="C47:E47"/>
    <mergeCell ref="E42:F42"/>
    <mergeCell ref="E38:F38"/>
    <mergeCell ref="C37:D37"/>
    <mergeCell ref="C38:D38"/>
    <mergeCell ref="C39:D39"/>
    <mergeCell ref="C40:D40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57"/>
  <sheetViews>
    <sheetView zoomScale="110" zoomScaleNormal="110" workbookViewId="0">
      <selection activeCell="B14" sqref="B14"/>
    </sheetView>
  </sheetViews>
  <sheetFormatPr defaultColWidth="9.140625" defaultRowHeight="15.75" outlineLevelRow="1" x14ac:dyDescent="0.25"/>
  <cols>
    <col min="1" max="1" width="2.85546875" style="3" customWidth="1"/>
    <col min="2" max="2" width="60.7109375" style="3" customWidth="1"/>
    <col min="3" max="3" width="22.140625" style="135" customWidth="1"/>
    <col min="4" max="4" width="8.42578125" style="136" customWidth="1"/>
    <col min="5" max="5" width="10.28515625" style="136" customWidth="1"/>
    <col min="6" max="6" width="10" style="3" customWidth="1"/>
    <col min="7" max="7" width="10.28515625" style="3" customWidth="1"/>
    <col min="8" max="8" width="10.7109375" style="3" customWidth="1"/>
    <col min="9" max="9" width="12.28515625" style="3" customWidth="1"/>
    <col min="10" max="12" width="9.140625" style="3"/>
    <col min="13" max="13" width="13.28515625" style="194" customWidth="1"/>
    <col min="14" max="14" width="15.85546875" style="194" customWidth="1"/>
    <col min="15" max="16384" width="9.140625" style="3"/>
  </cols>
  <sheetData>
    <row r="1" spans="1:9" x14ac:dyDescent="0.25">
      <c r="B1" s="161" t="s">
        <v>116</v>
      </c>
      <c r="C1" s="161"/>
      <c r="D1" s="161"/>
      <c r="E1" s="161"/>
      <c r="F1" s="161"/>
      <c r="G1" s="161"/>
      <c r="H1" s="161"/>
    </row>
    <row r="2" spans="1:9" ht="19.5" customHeight="1" x14ac:dyDescent="0.3">
      <c r="A2" s="14"/>
      <c r="B2" s="185" t="s">
        <v>162</v>
      </c>
      <c r="C2" s="185"/>
      <c r="D2" s="185"/>
      <c r="E2" s="185"/>
      <c r="F2" s="185"/>
      <c r="G2" s="185"/>
      <c r="H2" s="185"/>
    </row>
    <row r="3" spans="1:9" ht="20.25" customHeight="1" x14ac:dyDescent="0.3">
      <c r="A3" s="14"/>
      <c r="B3" s="185"/>
      <c r="C3" s="185"/>
      <c r="D3" s="185"/>
      <c r="E3" s="185"/>
      <c r="F3" s="185"/>
      <c r="G3" s="185"/>
      <c r="H3" s="185"/>
    </row>
    <row r="4" spans="1:9" ht="5.25" customHeight="1" x14ac:dyDescent="0.25">
      <c r="B4" s="87"/>
    </row>
    <row r="5" spans="1:9" x14ac:dyDescent="0.25">
      <c r="B5" s="3" t="s">
        <v>0</v>
      </c>
      <c r="D5" s="121" t="s">
        <v>65</v>
      </c>
      <c r="E5" s="121"/>
    </row>
    <row r="6" spans="1:9" x14ac:dyDescent="0.25">
      <c r="B6" s="3" t="s">
        <v>1</v>
      </c>
      <c r="D6" s="126">
        <v>1956</v>
      </c>
      <c r="E6" s="126"/>
    </row>
    <row r="7" spans="1:9" hidden="1" outlineLevel="1" x14ac:dyDescent="0.25">
      <c r="B7" s="3" t="s">
        <v>2</v>
      </c>
      <c r="D7" s="126">
        <v>2</v>
      </c>
      <c r="E7" s="126"/>
    </row>
    <row r="8" spans="1:9" hidden="1" outlineLevel="1" x14ac:dyDescent="0.25">
      <c r="B8" s="3" t="s">
        <v>3</v>
      </c>
      <c r="D8" s="126">
        <v>13</v>
      </c>
      <c r="E8" s="126"/>
    </row>
    <row r="9" spans="1:9" ht="30.75" hidden="1" customHeight="1" outlineLevel="1" x14ac:dyDescent="0.25">
      <c r="B9" s="17" t="s">
        <v>4</v>
      </c>
      <c r="C9" s="18"/>
      <c r="D9" s="126" t="s">
        <v>66</v>
      </c>
      <c r="E9" s="126"/>
    </row>
    <row r="10" spans="1:9" collapsed="1" x14ac:dyDescent="0.25">
      <c r="B10" s="3" t="s">
        <v>5</v>
      </c>
      <c r="D10" s="126" t="s">
        <v>141</v>
      </c>
      <c r="E10" s="126"/>
      <c r="I10" s="12"/>
    </row>
    <row r="11" spans="1:9" hidden="1" outlineLevel="1" x14ac:dyDescent="0.25">
      <c r="B11" s="3" t="s">
        <v>6</v>
      </c>
      <c r="D11" s="126" t="s">
        <v>7</v>
      </c>
      <c r="E11" s="126"/>
    </row>
    <row r="12" spans="1:9" ht="30.75" hidden="1" customHeight="1" outlineLevel="1" x14ac:dyDescent="0.25">
      <c r="B12" s="17" t="s">
        <v>8</v>
      </c>
      <c r="C12" s="18"/>
      <c r="D12" s="138" t="s">
        <v>67</v>
      </c>
      <c r="E12" s="126"/>
      <c r="I12" s="12"/>
    </row>
    <row r="13" spans="1:9" ht="16.5" collapsed="1" thickBot="1" x14ac:dyDescent="0.3">
      <c r="B13" s="188" t="s">
        <v>157</v>
      </c>
      <c r="C13" s="188"/>
      <c r="D13" s="188"/>
      <c r="E13" s="188"/>
      <c r="F13" s="188"/>
      <c r="G13" s="188"/>
      <c r="H13" s="188"/>
      <c r="I13" s="12"/>
    </row>
    <row r="14" spans="1:9" ht="43.5" customHeight="1" thickBot="1" x14ac:dyDescent="0.3">
      <c r="B14" s="110" t="s">
        <v>158</v>
      </c>
      <c r="C14" s="186" t="s">
        <v>113</v>
      </c>
      <c r="D14" s="187"/>
      <c r="E14" s="181" t="s">
        <v>10</v>
      </c>
      <c r="F14" s="189"/>
      <c r="G14" s="181" t="s">
        <v>11</v>
      </c>
      <c r="H14" s="182"/>
      <c r="I14" s="12"/>
    </row>
    <row r="15" spans="1:9" x14ac:dyDescent="0.25">
      <c r="B15" s="111" t="s">
        <v>12</v>
      </c>
      <c r="C15" s="139">
        <v>496335.82</v>
      </c>
      <c r="D15" s="175"/>
      <c r="E15" s="143">
        <v>353566.26</v>
      </c>
      <c r="F15" s="144"/>
      <c r="G15" s="143">
        <v>142769.56</v>
      </c>
      <c r="H15" s="145"/>
      <c r="I15" s="12"/>
    </row>
    <row r="16" spans="1:9" x14ac:dyDescent="0.25">
      <c r="B16" s="52" t="s">
        <v>13</v>
      </c>
      <c r="C16" s="141">
        <v>397501.02</v>
      </c>
      <c r="D16" s="173"/>
      <c r="E16" s="141">
        <v>283319.97000000003</v>
      </c>
      <c r="F16" s="142"/>
      <c r="G16" s="141">
        <v>114181.04999999999</v>
      </c>
      <c r="H16" s="146"/>
      <c r="I16" s="12"/>
    </row>
    <row r="17" spans="2:14" ht="16.5" thickBot="1" x14ac:dyDescent="0.3">
      <c r="B17" s="54" t="s">
        <v>87</v>
      </c>
      <c r="C17" s="147">
        <v>540543.93000000005</v>
      </c>
      <c r="D17" s="174"/>
      <c r="E17" s="150">
        <v>355633.93000000005</v>
      </c>
      <c r="F17" s="151"/>
      <c r="G17" s="150">
        <v>184910</v>
      </c>
      <c r="H17" s="152"/>
      <c r="I17" s="12"/>
    </row>
    <row r="18" spans="2:14" ht="30" customHeight="1" thickBot="1" x14ac:dyDescent="0.3">
      <c r="B18" s="13" t="s">
        <v>149</v>
      </c>
      <c r="C18" s="156">
        <f>E18+G18</f>
        <v>-143042.91000000003</v>
      </c>
      <c r="D18" s="157"/>
      <c r="E18" s="154">
        <f>E16-E17</f>
        <v>-72313.960000000021</v>
      </c>
      <c r="F18" s="155"/>
      <c r="G18" s="154">
        <f>G16-G17</f>
        <v>-70728.950000000012</v>
      </c>
      <c r="H18" s="158"/>
      <c r="I18" s="12"/>
    </row>
    <row r="19" spans="2:14" ht="12" customHeight="1" x14ac:dyDescent="0.25">
      <c r="B19" s="17"/>
      <c r="C19" s="18"/>
      <c r="D19" s="138"/>
      <c r="E19" s="126"/>
      <c r="I19" s="12"/>
    </row>
    <row r="20" spans="2:14" ht="20.25" customHeight="1" thickBot="1" x14ac:dyDescent="0.3">
      <c r="B20" s="193" t="s">
        <v>163</v>
      </c>
      <c r="C20" s="193"/>
      <c r="D20" s="193"/>
      <c r="E20" s="193"/>
      <c r="F20" s="193"/>
      <c r="G20" s="193"/>
      <c r="H20" s="193"/>
      <c r="I20" s="19"/>
      <c r="J20" s="19"/>
      <c r="L20" s="12"/>
      <c r="M20" s="195" t="s">
        <v>151</v>
      </c>
      <c r="N20" s="195" t="s">
        <v>152</v>
      </c>
    </row>
    <row r="21" spans="2:14" ht="27.75" customHeight="1" x14ac:dyDescent="0.25">
      <c r="B21" s="162" t="s">
        <v>101</v>
      </c>
      <c r="C21" s="164" t="s">
        <v>102</v>
      </c>
      <c r="D21" s="164" t="s">
        <v>103</v>
      </c>
      <c r="E21" s="166" t="s">
        <v>164</v>
      </c>
      <c r="F21" s="168" t="s">
        <v>104</v>
      </c>
      <c r="G21" s="169"/>
      <c r="H21" s="170" t="s">
        <v>123</v>
      </c>
      <c r="I21" s="20"/>
      <c r="J21" s="20"/>
      <c r="L21" s="12"/>
      <c r="M21" s="196"/>
      <c r="N21" s="196"/>
    </row>
    <row r="22" spans="2:14" ht="45" customHeight="1" thickBot="1" x14ac:dyDescent="0.3">
      <c r="B22" s="163"/>
      <c r="C22" s="165"/>
      <c r="D22" s="165"/>
      <c r="E22" s="167"/>
      <c r="F22" s="21" t="s">
        <v>92</v>
      </c>
      <c r="G22" s="22" t="s">
        <v>93</v>
      </c>
      <c r="H22" s="171"/>
      <c r="I22" s="20"/>
      <c r="J22" s="20"/>
      <c r="M22" s="197">
        <v>72788.42</v>
      </c>
      <c r="N22" s="197">
        <f>M22*1.01</f>
        <v>73516.304199999999</v>
      </c>
    </row>
    <row r="23" spans="2:14" ht="50.25" customHeight="1" x14ac:dyDescent="0.25">
      <c r="B23" s="23" t="s">
        <v>105</v>
      </c>
      <c r="C23" s="7" t="s">
        <v>121</v>
      </c>
      <c r="D23" s="24" t="s">
        <v>107</v>
      </c>
      <c r="E23" s="25">
        <v>1.06</v>
      </c>
      <c r="F23" s="26">
        <f>$M$22/$M$23*E23</f>
        <v>7527.3878243902436</v>
      </c>
      <c r="G23" s="27">
        <f>$N$22/$N$23*E23</f>
        <v>7602.6617026341464</v>
      </c>
      <c r="H23" s="28">
        <f>F23-G23</f>
        <v>-75.2738782439028</v>
      </c>
      <c r="I23" s="29"/>
      <c r="J23" s="29"/>
      <c r="K23" s="134"/>
      <c r="L23" s="31"/>
      <c r="M23" s="198">
        <f>E32-E30</f>
        <v>10.25</v>
      </c>
      <c r="N23" s="198">
        <f>E32-E30</f>
        <v>10.25</v>
      </c>
    </row>
    <row r="24" spans="2:14" ht="56.25" x14ac:dyDescent="0.25">
      <c r="B24" s="32" t="s">
        <v>99</v>
      </c>
      <c r="C24" s="7" t="s">
        <v>121</v>
      </c>
      <c r="D24" s="24" t="s">
        <v>107</v>
      </c>
      <c r="E24" s="8">
        <v>1.19</v>
      </c>
      <c r="F24" s="26">
        <f t="shared" ref="F24:F31" si="0">$M$22/$M$23*E24</f>
        <v>8450.5580292682916</v>
      </c>
      <c r="G24" s="27">
        <f t="shared" ref="G24:G28" si="1">$N$22/$N$23*E24</f>
        <v>8535.0636095609752</v>
      </c>
      <c r="H24" s="28">
        <f t="shared" ref="H24:H29" si="2">F24-G24</f>
        <v>-84.50558029268359</v>
      </c>
      <c r="I24" s="29"/>
      <c r="J24" s="29"/>
      <c r="K24" s="2"/>
      <c r="L24" s="2"/>
      <c r="M24" s="199"/>
      <c r="N24" s="199"/>
    </row>
    <row r="25" spans="2:14" ht="52.5" customHeight="1" x14ac:dyDescent="0.25">
      <c r="B25" s="33" t="s">
        <v>94</v>
      </c>
      <c r="C25" s="7" t="s">
        <v>121</v>
      </c>
      <c r="D25" s="24" t="s">
        <v>107</v>
      </c>
      <c r="E25" s="8">
        <v>0.32</v>
      </c>
      <c r="F25" s="26">
        <f t="shared" si="0"/>
        <v>2272.4189658536584</v>
      </c>
      <c r="G25" s="27">
        <f t="shared" si="1"/>
        <v>2295.1431555121953</v>
      </c>
      <c r="H25" s="28">
        <f t="shared" si="2"/>
        <v>-22.724189658536943</v>
      </c>
      <c r="I25" s="29"/>
      <c r="J25" s="29"/>
      <c r="L25" s="12"/>
    </row>
    <row r="26" spans="2:14" ht="25.5" x14ac:dyDescent="0.25">
      <c r="B26" s="33" t="s">
        <v>108</v>
      </c>
      <c r="C26" s="34" t="s">
        <v>109</v>
      </c>
      <c r="D26" s="24" t="s">
        <v>107</v>
      </c>
      <c r="E26" s="8">
        <v>0.5</v>
      </c>
      <c r="F26" s="26">
        <f>($M$22/12*2)/$M$23*E26</f>
        <v>591.77577235772355</v>
      </c>
      <c r="G26" s="27">
        <f>($N$22/12*2)/$N$23*E26</f>
        <v>597.69353008130076</v>
      </c>
      <c r="H26" s="28">
        <f t="shared" si="2"/>
        <v>-5.9177577235772105</v>
      </c>
      <c r="I26" s="29"/>
      <c r="J26" s="29"/>
      <c r="L26" s="12"/>
    </row>
    <row r="27" spans="2:14" ht="51" x14ac:dyDescent="0.25">
      <c r="B27" s="32" t="s">
        <v>95</v>
      </c>
      <c r="C27" s="7" t="s">
        <v>122</v>
      </c>
      <c r="D27" s="24" t="s">
        <v>107</v>
      </c>
      <c r="E27" s="8">
        <v>1.18</v>
      </c>
      <c r="F27" s="26">
        <f t="shared" si="0"/>
        <v>8379.5449365853656</v>
      </c>
      <c r="G27" s="27">
        <f t="shared" si="1"/>
        <v>8463.3403859512182</v>
      </c>
      <c r="H27" s="28">
        <f t="shared" si="2"/>
        <v>-83.795449365852619</v>
      </c>
      <c r="I27" s="29"/>
      <c r="J27" s="29"/>
    </row>
    <row r="28" spans="2:14" ht="213.75" customHeight="1" x14ac:dyDescent="0.25">
      <c r="B28" s="32" t="s">
        <v>120</v>
      </c>
      <c r="C28" s="35" t="s">
        <v>110</v>
      </c>
      <c r="D28" s="24" t="s">
        <v>107</v>
      </c>
      <c r="E28" s="8">
        <v>5.61</v>
      </c>
      <c r="F28" s="26">
        <f t="shared" si="0"/>
        <v>39838.344995121952</v>
      </c>
      <c r="G28" s="27">
        <f t="shared" si="1"/>
        <v>40236.728445073175</v>
      </c>
      <c r="H28" s="28">
        <f t="shared" si="2"/>
        <v>-398.38344995122316</v>
      </c>
      <c r="I28" s="29"/>
      <c r="J28" s="29"/>
      <c r="K28" s="2"/>
      <c r="L28" s="1"/>
      <c r="M28" s="199"/>
      <c r="N28" s="199"/>
    </row>
    <row r="29" spans="2:14" ht="108.75" customHeight="1" x14ac:dyDescent="0.25">
      <c r="B29" s="32" t="s">
        <v>111</v>
      </c>
      <c r="C29" s="7" t="s">
        <v>121</v>
      </c>
      <c r="D29" s="24" t="s">
        <v>107</v>
      </c>
      <c r="E29" s="8">
        <v>0.24</v>
      </c>
      <c r="F29" s="26">
        <f t="shared" si="0"/>
        <v>1704.3142243902437</v>
      </c>
      <c r="G29" s="27">
        <f t="shared" ref="G29" si="3">$N$22/$N$23*E29</f>
        <v>1721.3573666341463</v>
      </c>
      <c r="H29" s="28">
        <f t="shared" si="2"/>
        <v>-17.043142243902594</v>
      </c>
      <c r="I29" s="29"/>
      <c r="J29" s="29"/>
    </row>
    <row r="30" spans="2:14" ht="56.25" x14ac:dyDescent="0.25">
      <c r="B30" s="33" t="s">
        <v>112</v>
      </c>
      <c r="C30" s="7" t="s">
        <v>121</v>
      </c>
      <c r="D30" s="24" t="s">
        <v>107</v>
      </c>
      <c r="E30" s="8">
        <v>4.5999999999999996</v>
      </c>
      <c r="F30" s="26">
        <v>33617.14</v>
      </c>
      <c r="G30" s="5">
        <v>1128</v>
      </c>
      <c r="H30" s="28">
        <f>F30-G30</f>
        <v>32489.14</v>
      </c>
      <c r="I30" s="29"/>
      <c r="J30" s="29"/>
      <c r="L30" s="12"/>
    </row>
    <row r="31" spans="2:14" ht="16.5" thickBot="1" x14ac:dyDescent="0.3">
      <c r="B31" s="36" t="s">
        <v>97</v>
      </c>
      <c r="C31" s="37" t="s">
        <v>110</v>
      </c>
      <c r="D31" s="38" t="s">
        <v>107</v>
      </c>
      <c r="E31" s="39">
        <v>0.15</v>
      </c>
      <c r="F31" s="26">
        <f t="shared" si="0"/>
        <v>1065.1963902439024</v>
      </c>
      <c r="G31" s="27">
        <f t="shared" ref="G31" si="4">$N$22/$N$23*E31</f>
        <v>1075.8483541463413</v>
      </c>
      <c r="H31" s="40">
        <f>F31-G31</f>
        <v>-10.651963902438865</v>
      </c>
      <c r="I31" s="29"/>
      <c r="J31" s="29"/>
    </row>
    <row r="32" spans="2:14" ht="16.5" thickBot="1" x14ac:dyDescent="0.3">
      <c r="B32" s="41" t="s">
        <v>98</v>
      </c>
      <c r="C32" s="42"/>
      <c r="D32" s="42"/>
      <c r="E32" s="43">
        <f>SUM(E23:E31)</f>
        <v>14.85</v>
      </c>
      <c r="F32" s="44">
        <f>SUM(F23:F31)</f>
        <v>103446.68113821138</v>
      </c>
      <c r="G32" s="45">
        <f>SUM(G23:G31)</f>
        <v>71655.836549593485</v>
      </c>
      <c r="H32" s="46">
        <f>SUM(H23:H31)</f>
        <v>31790.844588617882</v>
      </c>
      <c r="I32" s="47"/>
      <c r="J32" s="47"/>
    </row>
    <row r="33" spans="2:14" x14ac:dyDescent="0.25">
      <c r="B33" s="12"/>
      <c r="C33" s="12"/>
      <c r="D33" s="12"/>
      <c r="E33" s="135"/>
      <c r="F33" s="135"/>
      <c r="G33" s="135"/>
      <c r="H33" s="136"/>
      <c r="I33" s="136"/>
      <c r="J33" s="136"/>
    </row>
    <row r="34" spans="2:14" ht="16.5" customHeight="1" thickBot="1" x14ac:dyDescent="0.3">
      <c r="B34" s="188" t="s">
        <v>165</v>
      </c>
      <c r="C34" s="188"/>
      <c r="D34" s="188"/>
      <c r="E34" s="188"/>
      <c r="F34" s="188"/>
      <c r="G34" s="188"/>
      <c r="H34" s="188"/>
      <c r="I34" s="48"/>
      <c r="J34" s="48"/>
    </row>
    <row r="35" spans="2:14" ht="44.25" customHeight="1" thickBot="1" x14ac:dyDescent="0.3">
      <c r="B35" s="110" t="s">
        <v>166</v>
      </c>
      <c r="C35" s="186" t="s">
        <v>113</v>
      </c>
      <c r="D35" s="187"/>
      <c r="E35" s="181" t="s">
        <v>10</v>
      </c>
      <c r="F35" s="189"/>
      <c r="G35" s="181" t="s">
        <v>11</v>
      </c>
      <c r="H35" s="182"/>
      <c r="I35" s="49"/>
      <c r="J35" s="49"/>
      <c r="K35" s="50"/>
      <c r="L35" s="51"/>
      <c r="M35" s="200"/>
      <c r="N35" s="200"/>
    </row>
    <row r="36" spans="2:14" x14ac:dyDescent="0.25">
      <c r="B36" s="111" t="s">
        <v>12</v>
      </c>
      <c r="C36" s="139">
        <f>E36+G36</f>
        <v>599782.50113821146</v>
      </c>
      <c r="D36" s="140"/>
      <c r="E36" s="143">
        <f>F23+F24+F25+F26+F27+F28+F29+F31+E15</f>
        <v>423395.80113821139</v>
      </c>
      <c r="F36" s="144"/>
      <c r="G36" s="143">
        <f>F30+G15</f>
        <v>176386.7</v>
      </c>
      <c r="H36" s="145"/>
      <c r="I36" s="53"/>
      <c r="J36" s="53"/>
      <c r="K36" s="9"/>
      <c r="L36" s="9"/>
      <c r="M36" s="201"/>
    </row>
    <row r="37" spans="2:14" x14ac:dyDescent="0.25">
      <c r="B37" s="52" t="s">
        <v>13</v>
      </c>
      <c r="C37" s="141">
        <f>E37+G37</f>
        <v>496234.76</v>
      </c>
      <c r="D37" s="142"/>
      <c r="E37" s="141">
        <f>E16+67540.39</f>
        <v>350860.36000000004</v>
      </c>
      <c r="F37" s="142"/>
      <c r="G37" s="141">
        <f>G16+31193.35</f>
        <v>145374.39999999999</v>
      </c>
      <c r="H37" s="146"/>
      <c r="I37" s="53"/>
      <c r="J37" s="53"/>
      <c r="K37" s="11"/>
      <c r="L37" s="9"/>
      <c r="M37" s="201"/>
    </row>
    <row r="38" spans="2:14" ht="16.5" thickBot="1" x14ac:dyDescent="0.3">
      <c r="B38" s="54" t="s">
        <v>87</v>
      </c>
      <c r="C38" s="147">
        <f>E38+G38</f>
        <v>612199.76654959354</v>
      </c>
      <c r="D38" s="148"/>
      <c r="E38" s="150">
        <f>G23+G24+G25+G26+G27+G28+G29+G31+E17</f>
        <v>426161.76654959354</v>
      </c>
      <c r="F38" s="151"/>
      <c r="G38" s="150">
        <f>G30+G17</f>
        <v>186038</v>
      </c>
      <c r="H38" s="152"/>
      <c r="I38" s="53"/>
      <c r="J38" s="53"/>
      <c r="K38" s="55"/>
      <c r="L38" s="55"/>
    </row>
    <row r="39" spans="2:14" ht="30" customHeight="1" thickBot="1" x14ac:dyDescent="0.3">
      <c r="B39" s="13" t="s">
        <v>150</v>
      </c>
      <c r="C39" s="156">
        <f>E39+G39</f>
        <v>-115965.0065495935</v>
      </c>
      <c r="D39" s="157"/>
      <c r="E39" s="154">
        <f>E37-E38</f>
        <v>-75301.406549593492</v>
      </c>
      <c r="F39" s="155"/>
      <c r="G39" s="154">
        <f>G37-G38</f>
        <v>-40663.600000000006</v>
      </c>
      <c r="H39" s="158"/>
      <c r="I39" s="53"/>
      <c r="J39" s="53"/>
      <c r="K39" s="55"/>
      <c r="L39" s="55"/>
    </row>
    <row r="40" spans="2:14" ht="27.75" customHeight="1" x14ac:dyDescent="0.25">
      <c r="B40" s="128" t="s">
        <v>88</v>
      </c>
      <c r="C40" s="149" t="s">
        <v>155</v>
      </c>
      <c r="D40" s="149"/>
      <c r="E40" s="149"/>
      <c r="F40" s="153" t="s">
        <v>14</v>
      </c>
      <c r="G40" s="153"/>
      <c r="H40" s="128"/>
      <c r="I40" s="128"/>
      <c r="J40" s="128"/>
      <c r="K40" s="2"/>
      <c r="L40" s="2"/>
      <c r="M40" s="199"/>
      <c r="N40" s="199"/>
    </row>
    <row r="41" spans="2:14" ht="11.25" customHeight="1" x14ac:dyDescent="0.25">
      <c r="B41" s="128"/>
      <c r="C41" s="128"/>
      <c r="D41" s="128"/>
      <c r="E41" s="127"/>
      <c r="F41" s="160"/>
      <c r="G41" s="160"/>
      <c r="H41" s="129"/>
      <c r="I41" s="129"/>
      <c r="J41" s="129"/>
      <c r="K41" s="2"/>
      <c r="L41" s="2"/>
      <c r="M41" s="199"/>
      <c r="N41" s="199"/>
    </row>
    <row r="42" spans="2:14" x14ac:dyDescent="0.25">
      <c r="B42" s="128" t="s">
        <v>89</v>
      </c>
      <c r="C42" s="149" t="s">
        <v>155</v>
      </c>
      <c r="D42" s="149"/>
      <c r="E42" s="149"/>
      <c r="F42" s="153" t="s">
        <v>100</v>
      </c>
      <c r="G42" s="153"/>
      <c r="H42" s="128"/>
      <c r="I42" s="128"/>
      <c r="J42" s="128"/>
      <c r="K42" s="2"/>
      <c r="L42" s="2"/>
      <c r="M42" s="199"/>
      <c r="N42" s="199"/>
    </row>
    <row r="43" spans="2:14" ht="9.75" customHeight="1" x14ac:dyDescent="0.25">
      <c r="B43" s="128"/>
      <c r="C43" s="128"/>
      <c r="D43" s="128"/>
      <c r="E43" s="127"/>
      <c r="F43" s="153"/>
      <c r="G43" s="153"/>
      <c r="H43" s="128"/>
      <c r="I43" s="128"/>
      <c r="J43" s="128"/>
    </row>
    <row r="44" spans="2:14" x14ac:dyDescent="0.25">
      <c r="B44" s="128" t="s">
        <v>90</v>
      </c>
      <c r="C44" s="149" t="s">
        <v>155</v>
      </c>
      <c r="D44" s="149"/>
      <c r="E44" s="149"/>
      <c r="F44" s="153" t="s">
        <v>114</v>
      </c>
      <c r="G44" s="153"/>
      <c r="H44" s="128"/>
      <c r="I44" s="128"/>
      <c r="J44" s="128"/>
    </row>
    <row r="45" spans="2:14" ht="8.25" customHeight="1" x14ac:dyDescent="0.25">
      <c r="B45" s="56"/>
      <c r="C45" s="56"/>
      <c r="D45" s="56"/>
      <c r="E45" s="127"/>
      <c r="F45" s="57"/>
      <c r="G45" s="58"/>
      <c r="H45" s="59"/>
      <c r="I45" s="59"/>
      <c r="J45" s="59"/>
    </row>
    <row r="46" spans="2:14" x14ac:dyDescent="0.25">
      <c r="B46" s="128" t="s">
        <v>91</v>
      </c>
      <c r="C46" s="149" t="s">
        <v>155</v>
      </c>
      <c r="D46" s="149"/>
      <c r="E46" s="149"/>
      <c r="F46" s="153" t="s">
        <v>114</v>
      </c>
      <c r="G46" s="153"/>
    </row>
    <row r="47" spans="2:14" ht="9" customHeight="1" x14ac:dyDescent="0.25">
      <c r="B47" s="60"/>
      <c r="C47" s="60"/>
      <c r="D47" s="60"/>
      <c r="E47" s="127"/>
      <c r="F47" s="159"/>
      <c r="G47" s="159"/>
    </row>
    <row r="48" spans="2:14" x14ac:dyDescent="0.25">
      <c r="C48" s="75"/>
    </row>
    <row r="49" spans="3:3" x14ac:dyDescent="0.25">
      <c r="C49" s="75"/>
    </row>
    <row r="50" spans="3:3" x14ac:dyDescent="0.25">
      <c r="C50" s="75"/>
    </row>
    <row r="51" spans="3:3" x14ac:dyDescent="0.25">
      <c r="C51" s="75"/>
    </row>
    <row r="52" spans="3:3" x14ac:dyDescent="0.25">
      <c r="C52" s="75"/>
    </row>
    <row r="53" spans="3:3" x14ac:dyDescent="0.25">
      <c r="C53" s="75"/>
    </row>
    <row r="54" spans="3:3" x14ac:dyDescent="0.25">
      <c r="C54" s="75"/>
    </row>
    <row r="55" spans="3:3" x14ac:dyDescent="0.25">
      <c r="C55" s="75"/>
    </row>
    <row r="56" spans="3:3" x14ac:dyDescent="0.25">
      <c r="C56" s="75"/>
    </row>
    <row r="57" spans="3:3" x14ac:dyDescent="0.25">
      <c r="C57" s="75"/>
    </row>
  </sheetData>
  <mergeCells count="54">
    <mergeCell ref="B1:H1"/>
    <mergeCell ref="B2:H3"/>
    <mergeCell ref="B20:H20"/>
    <mergeCell ref="B21:B22"/>
    <mergeCell ref="C21:C22"/>
    <mergeCell ref="D21:D22"/>
    <mergeCell ref="E21:E22"/>
    <mergeCell ref="F21:G21"/>
    <mergeCell ref="H21:H22"/>
    <mergeCell ref="B13:H13"/>
    <mergeCell ref="C14:D14"/>
    <mergeCell ref="E14:F14"/>
    <mergeCell ref="G14:H14"/>
    <mergeCell ref="C15:D15"/>
    <mergeCell ref="E15:F15"/>
    <mergeCell ref="G15:H15"/>
    <mergeCell ref="F47:G47"/>
    <mergeCell ref="E36:F36"/>
    <mergeCell ref="F43:G43"/>
    <mergeCell ref="E37:F37"/>
    <mergeCell ref="F44:G44"/>
    <mergeCell ref="E38:F38"/>
    <mergeCell ref="F41:G41"/>
    <mergeCell ref="F42:G42"/>
    <mergeCell ref="E39:F39"/>
    <mergeCell ref="F46:G46"/>
    <mergeCell ref="G36:H36"/>
    <mergeCell ref="G39:H39"/>
    <mergeCell ref="G37:H37"/>
    <mergeCell ref="F40:G40"/>
    <mergeCell ref="G38:H38"/>
    <mergeCell ref="C40:E40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42:E42"/>
    <mergeCell ref="C44:E44"/>
    <mergeCell ref="C46:E46"/>
    <mergeCell ref="M20:M21"/>
    <mergeCell ref="N20:N21"/>
    <mergeCell ref="C35:D35"/>
    <mergeCell ref="C36:D36"/>
    <mergeCell ref="C37:D37"/>
    <mergeCell ref="E35:F35"/>
    <mergeCell ref="B34:H34"/>
    <mergeCell ref="G35:H35"/>
    <mergeCell ref="C38:D38"/>
    <mergeCell ref="C39:D39"/>
  </mergeCells>
  <printOptions horizontalCentered="1"/>
  <pageMargins left="0.19685039370078741" right="0.19685039370078741" top="0.54" bottom="0.23622047244094491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P49"/>
  <sheetViews>
    <sheetView zoomScale="110" zoomScaleNormal="110" workbookViewId="0">
      <selection activeCell="M1" sqref="M1:N1048576"/>
    </sheetView>
  </sheetViews>
  <sheetFormatPr defaultColWidth="9.140625" defaultRowHeight="15.75" outlineLevelRow="1" x14ac:dyDescent="0.25"/>
  <cols>
    <col min="1" max="1" width="2.85546875" style="3" customWidth="1"/>
    <col min="2" max="2" width="55.7109375" style="3" customWidth="1"/>
    <col min="3" max="3" width="24.28515625" style="61" customWidth="1"/>
    <col min="4" max="4" width="8.85546875" style="136" customWidth="1"/>
    <col min="5" max="5" width="10.140625" style="136" customWidth="1"/>
    <col min="6" max="6" width="10" style="3" customWidth="1"/>
    <col min="7" max="7" width="10.28515625" style="3" customWidth="1"/>
    <col min="8" max="8" width="11" style="3" customWidth="1"/>
    <col min="9" max="12" width="9.140625" style="3"/>
    <col min="13" max="13" width="13.42578125" style="194" customWidth="1"/>
    <col min="14" max="14" width="13.7109375" style="194" customWidth="1"/>
    <col min="15" max="16384" width="9.140625" style="3"/>
  </cols>
  <sheetData>
    <row r="1" spans="2:8" x14ac:dyDescent="0.25">
      <c r="B1" s="161" t="s">
        <v>116</v>
      </c>
      <c r="C1" s="161"/>
      <c r="D1" s="161"/>
      <c r="E1" s="161"/>
      <c r="F1" s="161"/>
      <c r="G1" s="161"/>
      <c r="H1" s="161"/>
    </row>
    <row r="2" spans="2:8" ht="19.5" customHeight="1" x14ac:dyDescent="0.25">
      <c r="B2" s="185" t="s">
        <v>162</v>
      </c>
      <c r="C2" s="185"/>
      <c r="D2" s="185"/>
      <c r="E2" s="185"/>
      <c r="F2" s="185"/>
      <c r="G2" s="185"/>
      <c r="H2" s="185"/>
    </row>
    <row r="3" spans="2:8" ht="20.25" customHeight="1" x14ac:dyDescent="0.25">
      <c r="B3" s="185"/>
      <c r="C3" s="185"/>
      <c r="D3" s="185"/>
      <c r="E3" s="185"/>
      <c r="F3" s="185"/>
      <c r="G3" s="185"/>
      <c r="H3" s="185"/>
    </row>
    <row r="4" spans="2:8" ht="12.75" customHeight="1" x14ac:dyDescent="0.25"/>
    <row r="5" spans="2:8" x14ac:dyDescent="0.25">
      <c r="B5" s="3" t="s">
        <v>0</v>
      </c>
      <c r="D5" s="172" t="s">
        <v>17</v>
      </c>
      <c r="E5" s="172"/>
    </row>
    <row r="6" spans="2:8" x14ac:dyDescent="0.25">
      <c r="B6" s="3" t="s">
        <v>1</v>
      </c>
      <c r="D6" s="126">
        <v>1966</v>
      </c>
      <c r="E6" s="126"/>
    </row>
    <row r="7" spans="2:8" hidden="1" outlineLevel="1" x14ac:dyDescent="0.25">
      <c r="B7" s="3" t="s">
        <v>2</v>
      </c>
      <c r="D7" s="126">
        <v>2</v>
      </c>
      <c r="E7" s="126"/>
    </row>
    <row r="8" spans="2:8" hidden="1" outlineLevel="1" x14ac:dyDescent="0.25">
      <c r="B8" s="3" t="s">
        <v>3</v>
      </c>
      <c r="D8" s="126">
        <v>16</v>
      </c>
      <c r="E8" s="126"/>
    </row>
    <row r="9" spans="2:8" ht="30.75" hidden="1" customHeight="1" outlineLevel="1" x14ac:dyDescent="0.25">
      <c r="B9" s="17" t="s">
        <v>4</v>
      </c>
      <c r="C9" s="62"/>
      <c r="D9" s="126" t="s">
        <v>16</v>
      </c>
      <c r="E9" s="126"/>
    </row>
    <row r="10" spans="2:8" collapsed="1" x14ac:dyDescent="0.25">
      <c r="B10" s="3" t="s">
        <v>5</v>
      </c>
      <c r="D10" s="126" t="s">
        <v>125</v>
      </c>
      <c r="E10" s="126"/>
      <c r="H10" s="12"/>
    </row>
    <row r="11" spans="2:8" hidden="1" outlineLevel="1" x14ac:dyDescent="0.25">
      <c r="B11" s="3" t="s">
        <v>6</v>
      </c>
      <c r="D11" s="126" t="s">
        <v>7</v>
      </c>
      <c r="E11" s="126"/>
    </row>
    <row r="12" spans="2:8" ht="30.75" hidden="1" customHeight="1" outlineLevel="1" x14ac:dyDescent="0.25">
      <c r="B12" s="17" t="s">
        <v>8</v>
      </c>
      <c r="C12" s="62"/>
      <c r="D12" s="138" t="s">
        <v>9</v>
      </c>
      <c r="E12" s="126"/>
      <c r="H12" s="12"/>
    </row>
    <row r="13" spans="2:8" outlineLevel="1" x14ac:dyDescent="0.25">
      <c r="B13" s="17"/>
      <c r="C13" s="62"/>
      <c r="D13" s="138"/>
      <c r="E13" s="126"/>
      <c r="H13" s="12"/>
    </row>
    <row r="14" spans="2:8" ht="16.5" outlineLevel="1" thickBot="1" x14ac:dyDescent="0.3">
      <c r="B14" s="188" t="s">
        <v>157</v>
      </c>
      <c r="C14" s="188"/>
      <c r="D14" s="188"/>
      <c r="E14" s="188"/>
      <c r="F14" s="188"/>
      <c r="G14" s="188"/>
      <c r="H14" s="188"/>
    </row>
    <row r="15" spans="2:8" ht="45.75" customHeight="1" outlineLevel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</row>
    <row r="16" spans="2:8" outlineLevel="1" x14ac:dyDescent="0.25">
      <c r="B16" s="111" t="s">
        <v>12</v>
      </c>
      <c r="C16" s="139">
        <v>573427.06000000006</v>
      </c>
      <c r="D16" s="175"/>
      <c r="E16" s="143">
        <v>448462.37</v>
      </c>
      <c r="F16" s="144"/>
      <c r="G16" s="143">
        <v>124964.69000000002</v>
      </c>
      <c r="H16" s="145"/>
    </row>
    <row r="17" spans="2:14" outlineLevel="1" x14ac:dyDescent="0.25">
      <c r="B17" s="52" t="s">
        <v>13</v>
      </c>
      <c r="C17" s="141">
        <v>483061.37</v>
      </c>
      <c r="D17" s="173"/>
      <c r="E17" s="141">
        <v>377910.76999999996</v>
      </c>
      <c r="F17" s="142"/>
      <c r="G17" s="141">
        <v>105150.6</v>
      </c>
      <c r="H17" s="146"/>
    </row>
    <row r="18" spans="2:14" ht="16.5" outlineLevel="1" thickBot="1" x14ac:dyDescent="0.3">
      <c r="B18" s="54" t="s">
        <v>87</v>
      </c>
      <c r="C18" s="147">
        <v>490420.87</v>
      </c>
      <c r="D18" s="174"/>
      <c r="E18" s="150">
        <v>443742.87</v>
      </c>
      <c r="F18" s="151"/>
      <c r="G18" s="150">
        <v>46678</v>
      </c>
      <c r="H18" s="152"/>
    </row>
    <row r="19" spans="2:14" ht="36.75" outlineLevel="1" thickBot="1" x14ac:dyDescent="0.3">
      <c r="B19" s="13" t="s">
        <v>149</v>
      </c>
      <c r="C19" s="156">
        <f>E19+G19</f>
        <v>-7359.5000000000291</v>
      </c>
      <c r="D19" s="157"/>
      <c r="E19" s="154">
        <f>E17-E18</f>
        <v>-65832.100000000035</v>
      </c>
      <c r="F19" s="155"/>
      <c r="G19" s="154">
        <f>G17-G18</f>
        <v>58472.600000000006</v>
      </c>
      <c r="H19" s="158"/>
    </row>
    <row r="20" spans="2:14" outlineLevel="1" x14ac:dyDescent="0.25">
      <c r="B20" s="17"/>
      <c r="C20" s="62"/>
      <c r="D20" s="138"/>
      <c r="E20" s="126"/>
      <c r="H20" s="12"/>
    </row>
    <row r="21" spans="2:14" ht="24.75" customHeight="1" thickBot="1" x14ac:dyDescent="0.3">
      <c r="B21" s="193" t="s">
        <v>163</v>
      </c>
      <c r="C21" s="193"/>
      <c r="D21" s="193"/>
      <c r="E21" s="193"/>
      <c r="F21" s="193"/>
      <c r="G21" s="193"/>
      <c r="H21" s="193"/>
      <c r="I21" s="19"/>
      <c r="J21" s="19"/>
      <c r="L21" s="12"/>
      <c r="M21" s="195" t="s">
        <v>151</v>
      </c>
      <c r="N21" s="195" t="s">
        <v>152</v>
      </c>
    </row>
    <row r="22" spans="2:14" ht="27.75" customHeight="1" x14ac:dyDescent="0.25">
      <c r="B22" s="162" t="s">
        <v>101</v>
      </c>
      <c r="C22" s="164" t="s">
        <v>102</v>
      </c>
      <c r="D22" s="164" t="s">
        <v>103</v>
      </c>
      <c r="E22" s="166" t="s">
        <v>167</v>
      </c>
      <c r="F22" s="168" t="s">
        <v>104</v>
      </c>
      <c r="G22" s="169"/>
      <c r="H22" s="170" t="s">
        <v>123</v>
      </c>
      <c r="I22" s="20"/>
      <c r="J22" s="20"/>
      <c r="L22" s="12"/>
      <c r="M22" s="196"/>
      <c r="N22" s="196"/>
    </row>
    <row r="23" spans="2:14" ht="45" customHeight="1" thickBot="1" x14ac:dyDescent="0.3">
      <c r="B23" s="163"/>
      <c r="C23" s="165"/>
      <c r="D23" s="165"/>
      <c r="E23" s="167"/>
      <c r="F23" s="21" t="s">
        <v>92</v>
      </c>
      <c r="G23" s="22" t="s">
        <v>93</v>
      </c>
      <c r="H23" s="171"/>
      <c r="I23" s="20"/>
      <c r="J23" s="20"/>
      <c r="M23" s="197">
        <v>74614.179999999993</v>
      </c>
      <c r="N23" s="197">
        <f>74614.18*1.01</f>
        <v>75360.321799999991</v>
      </c>
    </row>
    <row r="24" spans="2:14" ht="50.25" customHeight="1" x14ac:dyDescent="0.25">
      <c r="B24" s="23" t="s">
        <v>105</v>
      </c>
      <c r="C24" s="7" t="s">
        <v>121</v>
      </c>
      <c r="D24" s="24" t="s">
        <v>107</v>
      </c>
      <c r="E24" s="25">
        <v>0</v>
      </c>
      <c r="F24" s="26">
        <f>$M$23/$M$24*E24</f>
        <v>0</v>
      </c>
      <c r="G24" s="27">
        <f>$N$23/$N$24*E24</f>
        <v>0</v>
      </c>
      <c r="H24" s="28">
        <f>F24-G24</f>
        <v>0</v>
      </c>
      <c r="I24" s="29"/>
      <c r="J24" s="29"/>
      <c r="K24" s="134"/>
      <c r="L24" s="31"/>
      <c r="M24" s="198">
        <f>E33-E31</f>
        <v>10.439999999999998</v>
      </c>
      <c r="N24" s="198">
        <f>E33-E31</f>
        <v>10.439999999999998</v>
      </c>
    </row>
    <row r="25" spans="2:14" ht="51" x14ac:dyDescent="0.25">
      <c r="B25" s="32" t="s">
        <v>99</v>
      </c>
      <c r="C25" s="7" t="s">
        <v>121</v>
      </c>
      <c r="D25" s="24" t="s">
        <v>107</v>
      </c>
      <c r="E25" s="8">
        <v>1.19</v>
      </c>
      <c r="F25" s="26">
        <f>$M$23/$M$24*E25</f>
        <v>8504.8730076628362</v>
      </c>
      <c r="G25" s="27">
        <f>$N$23/$N$24*E25</f>
        <v>8589.9217377394634</v>
      </c>
      <c r="H25" s="28">
        <f t="shared" ref="H25:H30" si="0">F25-G25</f>
        <v>-85.04873007662718</v>
      </c>
      <c r="I25" s="29"/>
      <c r="J25" s="29"/>
      <c r="K25" s="2"/>
      <c r="L25" s="2"/>
      <c r="M25" s="199"/>
      <c r="N25" s="199"/>
    </row>
    <row r="26" spans="2:14" ht="52.5" customHeight="1" x14ac:dyDescent="0.25">
      <c r="B26" s="33" t="s">
        <v>94</v>
      </c>
      <c r="C26" s="7" t="s">
        <v>121</v>
      </c>
      <c r="D26" s="24" t="s">
        <v>107</v>
      </c>
      <c r="E26" s="8">
        <v>0.32</v>
      </c>
      <c r="F26" s="26">
        <f t="shared" ref="F26:F32" si="1">$M$23/$M$24*E26</f>
        <v>2287.0246743295024</v>
      </c>
      <c r="G26" s="27">
        <f t="shared" ref="G26:G29" si="2">$N$23/$N$24*E26</f>
        <v>2309.8949210727974</v>
      </c>
      <c r="H26" s="28">
        <f t="shared" si="0"/>
        <v>-22.870246743294956</v>
      </c>
      <c r="I26" s="29"/>
      <c r="J26" s="29"/>
      <c r="L26" s="12"/>
    </row>
    <row r="27" spans="2:14" ht="25.5" x14ac:dyDescent="0.25">
      <c r="B27" s="33" t="s">
        <v>108</v>
      </c>
      <c r="C27" s="34" t="s">
        <v>109</v>
      </c>
      <c r="D27" s="24" t="s">
        <v>107</v>
      </c>
      <c r="E27" s="8">
        <v>0.5</v>
      </c>
      <c r="F27" s="26">
        <f>($M$23/12*2)/$M$24*E27</f>
        <v>595.57934227330782</v>
      </c>
      <c r="G27" s="27">
        <f>($N$23/12*2)/$N$24*E27</f>
        <v>601.53513569604092</v>
      </c>
      <c r="H27" s="28">
        <f t="shared" si="0"/>
        <v>-5.9557934227331089</v>
      </c>
      <c r="I27" s="29"/>
      <c r="J27" s="29"/>
      <c r="L27" s="12"/>
    </row>
    <row r="28" spans="2:14" ht="51" x14ac:dyDescent="0.25">
      <c r="B28" s="32" t="s">
        <v>95</v>
      </c>
      <c r="C28" s="7" t="s">
        <v>122</v>
      </c>
      <c r="D28" s="24" t="s">
        <v>107</v>
      </c>
      <c r="E28" s="8">
        <v>1.18</v>
      </c>
      <c r="F28" s="26">
        <f t="shared" si="1"/>
        <v>8433.4034865900394</v>
      </c>
      <c r="G28" s="27">
        <f t="shared" si="2"/>
        <v>8517.7375214559397</v>
      </c>
      <c r="H28" s="28">
        <f t="shared" si="0"/>
        <v>-84.334034865900321</v>
      </c>
      <c r="I28" s="29"/>
      <c r="J28" s="29"/>
    </row>
    <row r="29" spans="2:14" ht="212.25" customHeight="1" x14ac:dyDescent="0.25">
      <c r="B29" s="32" t="s">
        <v>119</v>
      </c>
      <c r="C29" s="35" t="s">
        <v>110</v>
      </c>
      <c r="D29" s="24" t="s">
        <v>107</v>
      </c>
      <c r="E29" s="8">
        <v>5.61</v>
      </c>
      <c r="F29" s="26">
        <f t="shared" si="1"/>
        <v>40094.40132183909</v>
      </c>
      <c r="G29" s="27">
        <f t="shared" si="2"/>
        <v>40495.345335057478</v>
      </c>
      <c r="H29" s="28">
        <f t="shared" si="0"/>
        <v>-400.94401321838814</v>
      </c>
      <c r="I29" s="29"/>
      <c r="J29" s="29"/>
      <c r="K29" s="2"/>
      <c r="L29" s="1"/>
      <c r="M29" s="199"/>
      <c r="N29" s="199"/>
    </row>
    <row r="30" spans="2:14" ht="108.75" customHeight="1" x14ac:dyDescent="0.25">
      <c r="B30" s="32" t="s">
        <v>111</v>
      </c>
      <c r="C30" s="7" t="s">
        <v>121</v>
      </c>
      <c r="D30" s="24" t="s">
        <v>107</v>
      </c>
      <c r="E30" s="8">
        <v>0.19</v>
      </c>
      <c r="F30" s="26">
        <f t="shared" si="1"/>
        <v>1357.920900383142</v>
      </c>
      <c r="G30" s="27">
        <f t="shared" ref="G30" si="3">$N$23/$N$24*E30</f>
        <v>1371.5001093869732</v>
      </c>
      <c r="H30" s="28">
        <f t="shared" si="0"/>
        <v>-13.579209003831238</v>
      </c>
      <c r="I30" s="29"/>
      <c r="J30" s="29"/>
    </row>
    <row r="31" spans="2:14" ht="45" x14ac:dyDescent="0.25">
      <c r="B31" s="33" t="s">
        <v>112</v>
      </c>
      <c r="C31" s="7" t="s">
        <v>121</v>
      </c>
      <c r="D31" s="24" t="s">
        <v>107</v>
      </c>
      <c r="E31" s="8">
        <v>3.87</v>
      </c>
      <c r="F31" s="26">
        <v>29861.31</v>
      </c>
      <c r="G31" s="5">
        <v>53069</v>
      </c>
      <c r="H31" s="28">
        <f>F31-G31</f>
        <v>-23207.69</v>
      </c>
      <c r="I31" s="29"/>
      <c r="J31" s="29"/>
      <c r="L31" s="12"/>
    </row>
    <row r="32" spans="2:14" ht="16.5" thickBot="1" x14ac:dyDescent="0.3">
      <c r="B32" s="36" t="s">
        <v>97</v>
      </c>
      <c r="C32" s="37" t="s">
        <v>110</v>
      </c>
      <c r="D32" s="38" t="s">
        <v>107</v>
      </c>
      <c r="E32" s="39">
        <f>1.31+0.14</f>
        <v>1.4500000000000002</v>
      </c>
      <c r="F32" s="26">
        <f t="shared" si="1"/>
        <v>10363.080555555558</v>
      </c>
      <c r="G32" s="27">
        <f t="shared" ref="G32" si="4">$N$23/$N$24*E32</f>
        <v>10466.711361111113</v>
      </c>
      <c r="H32" s="40">
        <f>F32-G32</f>
        <v>-103.63080555555462</v>
      </c>
      <c r="I32" s="29"/>
      <c r="J32" s="29"/>
    </row>
    <row r="33" spans="2:16" ht="16.5" thickBot="1" x14ac:dyDescent="0.3">
      <c r="B33" s="41" t="s">
        <v>98</v>
      </c>
      <c r="C33" s="42"/>
      <c r="D33" s="42"/>
      <c r="E33" s="43">
        <f>SUM(E24:E32)</f>
        <v>14.309999999999999</v>
      </c>
      <c r="F33" s="44">
        <f>SUM(F24:F32)</f>
        <v>101497.59328863348</v>
      </c>
      <c r="G33" s="45">
        <f>SUM(G24:G32)</f>
        <v>125421.64612151979</v>
      </c>
      <c r="H33" s="46">
        <f>SUM(H24:H32)</f>
        <v>-23924.052832886329</v>
      </c>
      <c r="I33" s="47"/>
      <c r="J33" s="47"/>
    </row>
    <row r="34" spans="2:16" x14ac:dyDescent="0.25">
      <c r="B34" s="12"/>
      <c r="C34" s="12"/>
      <c r="D34" s="12"/>
      <c r="E34" s="135"/>
      <c r="F34" s="135"/>
      <c r="G34" s="135"/>
      <c r="H34" s="136"/>
      <c r="I34" s="136"/>
      <c r="J34" s="136"/>
    </row>
    <row r="35" spans="2:16" ht="16.5" customHeight="1" thickBot="1" x14ac:dyDescent="0.3">
      <c r="B35" s="188" t="s">
        <v>165</v>
      </c>
      <c r="C35" s="188"/>
      <c r="D35" s="188"/>
      <c r="E35" s="188"/>
      <c r="F35" s="188"/>
      <c r="G35" s="188"/>
      <c r="H35" s="188"/>
      <c r="I35" s="48"/>
      <c r="J35" s="48"/>
    </row>
    <row r="36" spans="2:16" ht="44.25" customHeight="1" thickBot="1" x14ac:dyDescent="0.3">
      <c r="B36" s="110" t="s">
        <v>166</v>
      </c>
      <c r="C36" s="186" t="s">
        <v>113</v>
      </c>
      <c r="D36" s="187"/>
      <c r="E36" s="181" t="s">
        <v>10</v>
      </c>
      <c r="F36" s="189"/>
      <c r="G36" s="181" t="s">
        <v>11</v>
      </c>
      <c r="H36" s="182"/>
      <c r="I36" s="49"/>
      <c r="J36" s="49"/>
      <c r="K36" s="128"/>
      <c r="L36" s="128"/>
      <c r="M36" s="202"/>
      <c r="N36" s="203"/>
      <c r="O36" s="153"/>
      <c r="P36" s="153"/>
    </row>
    <row r="37" spans="2:16" x14ac:dyDescent="0.25">
      <c r="B37" s="111" t="s">
        <v>12</v>
      </c>
      <c r="C37" s="139">
        <f>E37+G37</f>
        <v>674924.65328863345</v>
      </c>
      <c r="D37" s="140"/>
      <c r="E37" s="143">
        <f>F24+F25+F26+F27+F28+F29+F30+F32+E16</f>
        <v>520098.65328863345</v>
      </c>
      <c r="F37" s="144"/>
      <c r="G37" s="143">
        <f>F31+G16</f>
        <v>154826.00000000003</v>
      </c>
      <c r="H37" s="145"/>
      <c r="I37" s="53"/>
      <c r="J37" s="53"/>
      <c r="K37" s="128"/>
      <c r="L37" s="128"/>
      <c r="M37" s="202"/>
      <c r="N37" s="204"/>
      <c r="O37" s="160"/>
      <c r="P37" s="160"/>
    </row>
    <row r="38" spans="2:16" x14ac:dyDescent="0.25">
      <c r="B38" s="52" t="s">
        <v>13</v>
      </c>
      <c r="C38" s="141">
        <f>E38+G38</f>
        <v>562431.73</v>
      </c>
      <c r="D38" s="142"/>
      <c r="E38" s="141">
        <f>E17+56684.74</f>
        <v>434595.50999999995</v>
      </c>
      <c r="F38" s="142"/>
      <c r="G38" s="141">
        <f>G17+22685.62</f>
        <v>127836.22</v>
      </c>
      <c r="H38" s="146"/>
      <c r="I38" s="53"/>
      <c r="J38" s="53"/>
      <c r="K38" s="128"/>
      <c r="L38" s="128"/>
      <c r="M38" s="202"/>
      <c r="N38" s="205"/>
      <c r="O38" s="153"/>
      <c r="P38" s="153"/>
    </row>
    <row r="39" spans="2:16" ht="16.5" thickBot="1" x14ac:dyDescent="0.3">
      <c r="B39" s="54" t="s">
        <v>87</v>
      </c>
      <c r="C39" s="147">
        <f>E39+G39</f>
        <v>615842.51612151973</v>
      </c>
      <c r="D39" s="148"/>
      <c r="E39" s="150">
        <f>G24+G25+G26+G27+G28+G29+G30+G32+E18</f>
        <v>516095.51612151979</v>
      </c>
      <c r="F39" s="151"/>
      <c r="G39" s="150">
        <f>G31+G18</f>
        <v>99747</v>
      </c>
      <c r="H39" s="152"/>
      <c r="I39" s="53"/>
      <c r="J39" s="53"/>
      <c r="K39" s="128"/>
      <c r="L39" s="128"/>
      <c r="M39" s="202"/>
      <c r="N39" s="204"/>
      <c r="O39" s="153"/>
      <c r="P39" s="153"/>
    </row>
    <row r="40" spans="2:16" ht="33.75" customHeight="1" thickBot="1" x14ac:dyDescent="0.3">
      <c r="B40" s="13" t="s">
        <v>150</v>
      </c>
      <c r="C40" s="156">
        <f>E40+G40</f>
        <v>-53410.786121519835</v>
      </c>
      <c r="D40" s="157"/>
      <c r="E40" s="154">
        <f>E38-E39</f>
        <v>-81500.006121519837</v>
      </c>
      <c r="F40" s="155"/>
      <c r="G40" s="154">
        <f>G38-G39</f>
        <v>28089.22</v>
      </c>
      <c r="H40" s="158"/>
      <c r="I40" s="53"/>
      <c r="J40" s="53"/>
      <c r="K40" s="128"/>
      <c r="L40" s="128"/>
      <c r="M40" s="202"/>
      <c r="N40" s="205"/>
      <c r="O40" s="153"/>
      <c r="P40" s="153"/>
    </row>
    <row r="41" spans="2:16" ht="34.5" customHeight="1" x14ac:dyDescent="0.25">
      <c r="B41" s="128" t="s">
        <v>88</v>
      </c>
      <c r="C41" s="149" t="s">
        <v>155</v>
      </c>
      <c r="D41" s="149"/>
      <c r="E41" s="149"/>
      <c r="F41" s="153" t="s">
        <v>14</v>
      </c>
      <c r="G41" s="153"/>
      <c r="H41" s="128"/>
      <c r="I41" s="128"/>
      <c r="J41" s="128"/>
      <c r="K41" s="56"/>
      <c r="L41" s="56"/>
      <c r="M41" s="206"/>
      <c r="N41" s="204"/>
      <c r="O41" s="57"/>
      <c r="P41" s="58"/>
    </row>
    <row r="42" spans="2:16" ht="11.25" customHeight="1" x14ac:dyDescent="0.25">
      <c r="B42" s="128"/>
      <c r="C42" s="128"/>
      <c r="D42" s="128"/>
      <c r="E42" s="127"/>
      <c r="F42" s="160"/>
      <c r="G42" s="160"/>
      <c r="H42" s="129"/>
      <c r="I42" s="129"/>
      <c r="J42" s="129"/>
      <c r="K42" s="128"/>
      <c r="L42" s="128"/>
      <c r="M42" s="202"/>
      <c r="N42" s="205"/>
      <c r="O42" s="153"/>
      <c r="P42" s="153"/>
    </row>
    <row r="43" spans="2:16" x14ac:dyDescent="0.25">
      <c r="B43" s="128" t="s">
        <v>89</v>
      </c>
      <c r="C43" s="149" t="s">
        <v>155</v>
      </c>
      <c r="D43" s="149"/>
      <c r="E43" s="149"/>
      <c r="F43" s="153" t="s">
        <v>100</v>
      </c>
      <c r="G43" s="153"/>
      <c r="H43" s="128"/>
      <c r="I43" s="128"/>
      <c r="J43" s="128"/>
      <c r="K43" s="60"/>
      <c r="L43" s="60"/>
      <c r="M43" s="207"/>
      <c r="N43" s="204"/>
      <c r="O43" s="159"/>
      <c r="P43" s="159"/>
    </row>
    <row r="44" spans="2:16" ht="9.75" customHeight="1" x14ac:dyDescent="0.25">
      <c r="B44" s="128"/>
      <c r="C44" s="128"/>
      <c r="D44" s="128"/>
      <c r="E44" s="127"/>
      <c r="F44" s="153"/>
      <c r="G44" s="153"/>
      <c r="H44" s="128"/>
      <c r="I44" s="128"/>
      <c r="J44" s="128"/>
      <c r="L44" s="135"/>
      <c r="M44" s="200"/>
      <c r="N44" s="208"/>
    </row>
    <row r="45" spans="2:16" x14ac:dyDescent="0.25">
      <c r="B45" s="128" t="s">
        <v>90</v>
      </c>
      <c r="C45" s="149" t="s">
        <v>155</v>
      </c>
      <c r="D45" s="149"/>
      <c r="E45" s="149"/>
      <c r="F45" s="153" t="s">
        <v>114</v>
      </c>
      <c r="G45" s="153"/>
      <c r="H45" s="128"/>
      <c r="I45" s="128"/>
      <c r="J45" s="128"/>
    </row>
    <row r="46" spans="2:16" ht="8.25" customHeight="1" x14ac:dyDescent="0.25">
      <c r="B46" s="56"/>
      <c r="C46" s="56"/>
      <c r="D46" s="56"/>
      <c r="E46" s="127"/>
      <c r="F46" s="57"/>
      <c r="G46" s="58"/>
      <c r="H46" s="59"/>
      <c r="I46" s="59"/>
      <c r="J46" s="59"/>
    </row>
    <row r="47" spans="2:16" x14ac:dyDescent="0.25">
      <c r="B47" s="128" t="s">
        <v>91</v>
      </c>
      <c r="C47" s="149" t="s">
        <v>155</v>
      </c>
      <c r="D47" s="149"/>
      <c r="E47" s="149"/>
      <c r="F47" s="153" t="s">
        <v>114</v>
      </c>
      <c r="G47" s="153"/>
    </row>
    <row r="48" spans="2:16" ht="9" customHeight="1" x14ac:dyDescent="0.25">
      <c r="B48" s="60"/>
      <c r="C48" s="60"/>
      <c r="D48" s="60"/>
      <c r="E48" s="127"/>
      <c r="F48" s="159"/>
      <c r="G48" s="159"/>
    </row>
    <row r="49" spans="3:5" x14ac:dyDescent="0.25">
      <c r="C49" s="135"/>
      <c r="E49" s="131"/>
    </row>
  </sheetData>
  <mergeCells count="62">
    <mergeCell ref="G16:H16"/>
    <mergeCell ref="E17:F17"/>
    <mergeCell ref="G17:H17"/>
    <mergeCell ref="E18:F18"/>
    <mergeCell ref="G18:H18"/>
    <mergeCell ref="B1:H1"/>
    <mergeCell ref="B2:H3"/>
    <mergeCell ref="B21:H21"/>
    <mergeCell ref="B22:B23"/>
    <mergeCell ref="C22:C23"/>
    <mergeCell ref="D22:D23"/>
    <mergeCell ref="E22:E23"/>
    <mergeCell ref="F22:G22"/>
    <mergeCell ref="H22:H23"/>
    <mergeCell ref="B14:H14"/>
    <mergeCell ref="E15:F15"/>
    <mergeCell ref="G15:H15"/>
    <mergeCell ref="E16:F16"/>
    <mergeCell ref="D5:E5"/>
    <mergeCell ref="E19:F19"/>
    <mergeCell ref="G19:H19"/>
    <mergeCell ref="F47:G47"/>
    <mergeCell ref="F48:G48"/>
    <mergeCell ref="G38:H38"/>
    <mergeCell ref="G39:H39"/>
    <mergeCell ref="G40:H40"/>
    <mergeCell ref="F41:G41"/>
    <mergeCell ref="F45:G45"/>
    <mergeCell ref="E38:F38"/>
    <mergeCell ref="E39:F39"/>
    <mergeCell ref="E40:F40"/>
    <mergeCell ref="F42:G42"/>
    <mergeCell ref="F43:G43"/>
    <mergeCell ref="F44:G44"/>
    <mergeCell ref="C45:E45"/>
    <mergeCell ref="C47:E47"/>
    <mergeCell ref="C15:D15"/>
    <mergeCell ref="C16:D16"/>
    <mergeCell ref="C17:D17"/>
    <mergeCell ref="C18:D18"/>
    <mergeCell ref="C19:D19"/>
    <mergeCell ref="M21:M22"/>
    <mergeCell ref="N21:N22"/>
    <mergeCell ref="C36:D36"/>
    <mergeCell ref="C37:D37"/>
    <mergeCell ref="C38:D38"/>
    <mergeCell ref="B35:H35"/>
    <mergeCell ref="E36:F36"/>
    <mergeCell ref="G36:H36"/>
    <mergeCell ref="E37:F37"/>
    <mergeCell ref="G37:H37"/>
    <mergeCell ref="O42:P42"/>
    <mergeCell ref="O43:P43"/>
    <mergeCell ref="C39:D39"/>
    <mergeCell ref="C40:D40"/>
    <mergeCell ref="O36:P36"/>
    <mergeCell ref="O37:P37"/>
    <mergeCell ref="O38:P38"/>
    <mergeCell ref="O39:P39"/>
    <mergeCell ref="O40:P40"/>
    <mergeCell ref="C41:E41"/>
    <mergeCell ref="C43:E43"/>
  </mergeCells>
  <printOptions horizontalCentered="1"/>
  <pageMargins left="0.19685039370078741" right="0.19685039370078741" top="0.15748031496062992" bottom="0.23622047244094491" header="0.16" footer="0.25"/>
  <pageSetup paperSize="9" scale="46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54"/>
  <sheetViews>
    <sheetView zoomScale="110" zoomScaleNormal="110" workbookViewId="0">
      <selection activeCell="A10" sqref="A1:XFD1048576"/>
    </sheetView>
  </sheetViews>
  <sheetFormatPr defaultColWidth="9.140625" defaultRowHeight="15.75" outlineLevelRow="1" x14ac:dyDescent="0.25"/>
  <cols>
    <col min="1" max="1" width="2.85546875" style="3" customWidth="1"/>
    <col min="2" max="2" width="59.140625" style="3" customWidth="1"/>
    <col min="3" max="3" width="21.7109375" style="135" customWidth="1"/>
    <col min="4" max="4" width="9.140625" style="136" customWidth="1"/>
    <col min="5" max="5" width="10.28515625" style="136" customWidth="1"/>
    <col min="6" max="6" width="10" style="3" customWidth="1"/>
    <col min="7" max="7" width="10.28515625" style="3" customWidth="1"/>
    <col min="8" max="8" width="10.7109375" style="3" customWidth="1"/>
    <col min="9" max="9" width="12.28515625" style="3" customWidth="1"/>
    <col min="10" max="12" width="9.140625" style="3"/>
    <col min="13" max="13" width="17.5703125" style="194" customWidth="1"/>
    <col min="14" max="14" width="15.85546875" style="194" customWidth="1"/>
    <col min="15" max="16384" width="9.140625" style="3"/>
  </cols>
  <sheetData>
    <row r="1" spans="1:9" x14ac:dyDescent="0.25">
      <c r="B1" s="161" t="s">
        <v>116</v>
      </c>
      <c r="C1" s="161"/>
      <c r="D1" s="161"/>
      <c r="E1" s="161"/>
      <c r="F1" s="161"/>
      <c r="G1" s="161"/>
      <c r="H1" s="161"/>
    </row>
    <row r="2" spans="1:9" ht="19.5" customHeight="1" x14ac:dyDescent="0.3">
      <c r="A2" s="14"/>
      <c r="B2" s="185" t="s">
        <v>162</v>
      </c>
      <c r="C2" s="185"/>
      <c r="D2" s="185"/>
      <c r="E2" s="185"/>
      <c r="F2" s="185"/>
      <c r="G2" s="185"/>
      <c r="H2" s="185"/>
    </row>
    <row r="3" spans="1:9" ht="20.25" customHeight="1" x14ac:dyDescent="0.3">
      <c r="A3" s="14"/>
      <c r="B3" s="185"/>
      <c r="C3" s="185"/>
      <c r="D3" s="185"/>
      <c r="E3" s="185"/>
      <c r="F3" s="185"/>
      <c r="G3" s="185"/>
      <c r="H3" s="185"/>
    </row>
    <row r="4" spans="1:9" ht="12.75" customHeight="1" x14ac:dyDescent="0.25"/>
    <row r="5" spans="1:9" x14ac:dyDescent="0.25">
      <c r="B5" s="3" t="s">
        <v>0</v>
      </c>
      <c r="D5" s="172" t="s">
        <v>68</v>
      </c>
      <c r="E5" s="172"/>
    </row>
    <row r="6" spans="1:9" x14ac:dyDescent="0.25">
      <c r="B6" s="3" t="s">
        <v>1</v>
      </c>
      <c r="D6" s="126">
        <v>1957</v>
      </c>
      <c r="E6" s="126"/>
    </row>
    <row r="7" spans="1:9" hidden="1" outlineLevel="1" x14ac:dyDescent="0.25">
      <c r="B7" s="3" t="s">
        <v>2</v>
      </c>
      <c r="D7" s="126">
        <v>2</v>
      </c>
      <c r="E7" s="126"/>
    </row>
    <row r="8" spans="1:9" hidden="1" outlineLevel="1" x14ac:dyDescent="0.25">
      <c r="B8" s="3" t="s">
        <v>3</v>
      </c>
      <c r="D8" s="126">
        <v>12</v>
      </c>
      <c r="E8" s="126"/>
    </row>
    <row r="9" spans="1:9" ht="30.75" hidden="1" customHeight="1" outlineLevel="1" x14ac:dyDescent="0.25">
      <c r="B9" s="17" t="s">
        <v>4</v>
      </c>
      <c r="C9" s="18"/>
      <c r="D9" s="126" t="s">
        <v>69</v>
      </c>
      <c r="E9" s="126"/>
    </row>
    <row r="10" spans="1:9" collapsed="1" x14ac:dyDescent="0.25">
      <c r="B10" s="3" t="s">
        <v>5</v>
      </c>
      <c r="D10" s="126" t="s">
        <v>142</v>
      </c>
      <c r="E10" s="126"/>
      <c r="I10" s="12"/>
    </row>
    <row r="11" spans="1:9" hidden="1" outlineLevel="1" x14ac:dyDescent="0.25">
      <c r="B11" s="3" t="s">
        <v>6</v>
      </c>
      <c r="D11" s="126" t="s">
        <v>7</v>
      </c>
      <c r="E11" s="126"/>
    </row>
    <row r="12" spans="1:9" ht="30.75" hidden="1" customHeight="1" outlineLevel="1" x14ac:dyDescent="0.25">
      <c r="B12" s="17" t="s">
        <v>8</v>
      </c>
      <c r="C12" s="18"/>
      <c r="D12" s="138" t="s">
        <v>70</v>
      </c>
      <c r="E12" s="126"/>
      <c r="I12" s="12"/>
    </row>
    <row r="13" spans="1:9" ht="14.25" customHeight="1" collapsed="1" x14ac:dyDescent="0.25">
      <c r="B13" s="17"/>
      <c r="C13" s="18"/>
      <c r="D13" s="138"/>
      <c r="E13" s="126"/>
      <c r="I13" s="12"/>
    </row>
    <row r="14" spans="1:9" ht="16.5" thickBot="1" x14ac:dyDescent="0.3">
      <c r="B14" s="188" t="s">
        <v>157</v>
      </c>
      <c r="C14" s="188"/>
      <c r="D14" s="188"/>
      <c r="E14" s="188"/>
      <c r="F14" s="188"/>
      <c r="G14" s="188"/>
      <c r="H14" s="188"/>
      <c r="I14" s="12"/>
    </row>
    <row r="15" spans="1:9" ht="47.25" customHeight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  <c r="I15" s="12"/>
    </row>
    <row r="16" spans="1:9" x14ac:dyDescent="0.25">
      <c r="B16" s="111" t="s">
        <v>12</v>
      </c>
      <c r="C16" s="139">
        <v>598817.92000000004</v>
      </c>
      <c r="D16" s="175"/>
      <c r="E16" s="143">
        <v>427327.12000000005</v>
      </c>
      <c r="F16" s="144"/>
      <c r="G16" s="143">
        <v>171490.8</v>
      </c>
      <c r="H16" s="145"/>
      <c r="I16" s="12"/>
    </row>
    <row r="17" spans="2:14" x14ac:dyDescent="0.25">
      <c r="B17" s="52" t="s">
        <v>13</v>
      </c>
      <c r="C17" s="141">
        <v>477295.96</v>
      </c>
      <c r="D17" s="173"/>
      <c r="E17" s="141">
        <v>344232.48000000004</v>
      </c>
      <c r="F17" s="142"/>
      <c r="G17" s="141">
        <v>133063.47999999998</v>
      </c>
      <c r="H17" s="146"/>
      <c r="I17" s="12"/>
    </row>
    <row r="18" spans="2:14" ht="16.5" thickBot="1" x14ac:dyDescent="0.3">
      <c r="B18" s="54" t="s">
        <v>87</v>
      </c>
      <c r="C18" s="147">
        <v>606698.0048</v>
      </c>
      <c r="D18" s="174"/>
      <c r="E18" s="150">
        <v>424952.00480000005</v>
      </c>
      <c r="F18" s="151"/>
      <c r="G18" s="150">
        <v>181746</v>
      </c>
      <c r="H18" s="152"/>
      <c r="I18" s="12"/>
    </row>
    <row r="19" spans="2:14" ht="29.25" customHeight="1" thickBot="1" x14ac:dyDescent="0.3">
      <c r="B19" s="13" t="s">
        <v>149</v>
      </c>
      <c r="C19" s="156">
        <f>E19+G19</f>
        <v>-129402.04480000003</v>
      </c>
      <c r="D19" s="157"/>
      <c r="E19" s="154">
        <f>E17-E18</f>
        <v>-80719.524800000014</v>
      </c>
      <c r="F19" s="155"/>
      <c r="G19" s="154">
        <f>G17-G18</f>
        <v>-48682.520000000019</v>
      </c>
      <c r="H19" s="158"/>
      <c r="I19" s="12"/>
    </row>
    <row r="20" spans="2:14" x14ac:dyDescent="0.25">
      <c r="B20" s="17"/>
      <c r="C20" s="18"/>
      <c r="D20" s="138"/>
      <c r="E20" s="126"/>
      <c r="I20" s="12"/>
    </row>
    <row r="21" spans="2:14" ht="22.5" customHeight="1" thickBot="1" x14ac:dyDescent="0.3">
      <c r="B21" s="193" t="s">
        <v>163</v>
      </c>
      <c r="C21" s="193"/>
      <c r="D21" s="193"/>
      <c r="E21" s="193"/>
      <c r="F21" s="193"/>
      <c r="G21" s="193"/>
      <c r="H21" s="193"/>
      <c r="I21" s="19"/>
      <c r="J21" s="19"/>
      <c r="L21" s="12"/>
      <c r="M21" s="195" t="s">
        <v>151</v>
      </c>
      <c r="N21" s="195" t="s">
        <v>152</v>
      </c>
    </row>
    <row r="22" spans="2:14" ht="27.75" customHeight="1" x14ac:dyDescent="0.25">
      <c r="B22" s="162" t="s">
        <v>101</v>
      </c>
      <c r="C22" s="164" t="s">
        <v>102</v>
      </c>
      <c r="D22" s="164" t="s">
        <v>103</v>
      </c>
      <c r="E22" s="166" t="s">
        <v>164</v>
      </c>
      <c r="F22" s="168" t="s">
        <v>104</v>
      </c>
      <c r="G22" s="169"/>
      <c r="H22" s="170" t="s">
        <v>123</v>
      </c>
      <c r="I22" s="20"/>
      <c r="J22" s="20"/>
      <c r="L22" s="12"/>
      <c r="M22" s="196"/>
      <c r="N22" s="196"/>
    </row>
    <row r="23" spans="2:14" ht="45" customHeight="1" thickBot="1" x14ac:dyDescent="0.3">
      <c r="B23" s="163"/>
      <c r="C23" s="165"/>
      <c r="D23" s="165"/>
      <c r="E23" s="167"/>
      <c r="F23" s="21" t="s">
        <v>92</v>
      </c>
      <c r="G23" s="22" t="s">
        <v>93</v>
      </c>
      <c r="H23" s="171"/>
      <c r="I23" s="20"/>
      <c r="J23" s="20"/>
      <c r="M23" s="197">
        <v>70844.990000000005</v>
      </c>
      <c r="N23" s="197">
        <f>M23*1.01</f>
        <v>71553.439900000012</v>
      </c>
    </row>
    <row r="24" spans="2:14" ht="50.25" customHeight="1" x14ac:dyDescent="0.25">
      <c r="B24" s="23" t="s">
        <v>105</v>
      </c>
      <c r="C24" s="7" t="s">
        <v>121</v>
      </c>
      <c r="D24" s="24" t="s">
        <v>107</v>
      </c>
      <c r="E24" s="25">
        <v>1.06</v>
      </c>
      <c r="F24" s="26">
        <f>$M$23/$M$24*E24</f>
        <v>7326.4087219512203</v>
      </c>
      <c r="G24" s="27">
        <f>$N$23/$N$24*E24</f>
        <v>7399.6728091707328</v>
      </c>
      <c r="H24" s="28">
        <f>F24-G24</f>
        <v>-73.264087219512476</v>
      </c>
      <c r="I24" s="29"/>
      <c r="J24" s="29"/>
      <c r="K24" s="134"/>
      <c r="L24" s="31"/>
      <c r="M24" s="198">
        <f>E33-E31</f>
        <v>10.25</v>
      </c>
      <c r="N24" s="198">
        <f>E33-E31</f>
        <v>10.25</v>
      </c>
    </row>
    <row r="25" spans="2:14" ht="56.25" x14ac:dyDescent="0.25">
      <c r="B25" s="32" t="s">
        <v>99</v>
      </c>
      <c r="C25" s="7" t="s">
        <v>121</v>
      </c>
      <c r="D25" s="24" t="s">
        <v>107</v>
      </c>
      <c r="E25" s="8">
        <v>1.19</v>
      </c>
      <c r="F25" s="26">
        <f t="shared" ref="F25:F32" si="0">$M$23/$M$24*E25</f>
        <v>8224.9305463414639</v>
      </c>
      <c r="G25" s="27">
        <f t="shared" ref="G25:G29" si="1">$N$23/$N$24*E25</f>
        <v>8307.1798518048781</v>
      </c>
      <c r="H25" s="28">
        <f t="shared" ref="H25:H30" si="2">F25-G25</f>
        <v>-82.249305463414203</v>
      </c>
      <c r="I25" s="29"/>
      <c r="J25" s="29"/>
      <c r="K25" s="2"/>
      <c r="L25" s="2"/>
      <c r="M25" s="199"/>
      <c r="N25" s="199"/>
    </row>
    <row r="26" spans="2:14" ht="52.5" customHeight="1" x14ac:dyDescent="0.25">
      <c r="B26" s="33" t="s">
        <v>94</v>
      </c>
      <c r="C26" s="7" t="s">
        <v>121</v>
      </c>
      <c r="D26" s="24" t="s">
        <v>107</v>
      </c>
      <c r="E26" s="8">
        <v>0.32</v>
      </c>
      <c r="F26" s="26">
        <f t="shared" si="0"/>
        <v>2211.7460292682927</v>
      </c>
      <c r="G26" s="27">
        <f t="shared" si="1"/>
        <v>2233.8634895609757</v>
      </c>
      <c r="H26" s="28">
        <f t="shared" si="2"/>
        <v>-22.117460292683063</v>
      </c>
      <c r="I26" s="29"/>
      <c r="J26" s="29"/>
      <c r="L26" s="12"/>
    </row>
    <row r="27" spans="2:14" ht="25.5" x14ac:dyDescent="0.25">
      <c r="B27" s="33" t="s">
        <v>108</v>
      </c>
      <c r="C27" s="34" t="s">
        <v>109</v>
      </c>
      <c r="D27" s="24" t="s">
        <v>107</v>
      </c>
      <c r="E27" s="8">
        <v>0.5</v>
      </c>
      <c r="F27" s="26">
        <f>($M$23/12*2)/$M$24*E27</f>
        <v>575.97552845528458</v>
      </c>
      <c r="G27" s="27">
        <f>($N$23/12*2)/$N$24*E27</f>
        <v>581.73528373983754</v>
      </c>
      <c r="H27" s="28">
        <f t="shared" si="2"/>
        <v>-5.7597552845529663</v>
      </c>
      <c r="I27" s="29"/>
      <c r="J27" s="29"/>
      <c r="L27" s="12"/>
    </row>
    <row r="28" spans="2:14" ht="51" x14ac:dyDescent="0.25">
      <c r="B28" s="32" t="s">
        <v>95</v>
      </c>
      <c r="C28" s="7" t="s">
        <v>122</v>
      </c>
      <c r="D28" s="24" t="s">
        <v>107</v>
      </c>
      <c r="E28" s="8">
        <v>1.18</v>
      </c>
      <c r="F28" s="26">
        <f t="shared" si="0"/>
        <v>8155.8134829268292</v>
      </c>
      <c r="G28" s="27">
        <f t="shared" si="1"/>
        <v>8237.3716177560982</v>
      </c>
      <c r="H28" s="28">
        <f t="shared" si="2"/>
        <v>-81.558134829268965</v>
      </c>
      <c r="I28" s="29"/>
      <c r="J28" s="29"/>
    </row>
    <row r="29" spans="2:14" ht="210.75" customHeight="1" x14ac:dyDescent="0.25">
      <c r="B29" s="32" t="s">
        <v>120</v>
      </c>
      <c r="C29" s="35" t="s">
        <v>110</v>
      </c>
      <c r="D29" s="24" t="s">
        <v>107</v>
      </c>
      <c r="E29" s="8">
        <v>5.61</v>
      </c>
      <c r="F29" s="26">
        <f t="shared" si="0"/>
        <v>38774.672575609758</v>
      </c>
      <c r="G29" s="27">
        <f t="shared" si="1"/>
        <v>39162.419301365859</v>
      </c>
      <c r="H29" s="28">
        <f t="shared" si="2"/>
        <v>-387.7467257561002</v>
      </c>
      <c r="I29" s="29"/>
      <c r="J29" s="29"/>
      <c r="K29" s="2"/>
      <c r="L29" s="1"/>
      <c r="M29" s="199"/>
      <c r="N29" s="199"/>
    </row>
    <row r="30" spans="2:14" ht="108.75" customHeight="1" x14ac:dyDescent="0.25">
      <c r="B30" s="32" t="s">
        <v>111</v>
      </c>
      <c r="C30" s="7" t="s">
        <v>121</v>
      </c>
      <c r="D30" s="24" t="s">
        <v>107</v>
      </c>
      <c r="E30" s="8">
        <v>0.24</v>
      </c>
      <c r="F30" s="26">
        <f t="shared" si="0"/>
        <v>1658.8095219512195</v>
      </c>
      <c r="G30" s="27">
        <f t="shared" ref="G30" si="3">$N$23/$N$24*E30</f>
        <v>1675.3976171707318</v>
      </c>
      <c r="H30" s="28">
        <f t="shared" si="2"/>
        <v>-16.588095219512297</v>
      </c>
      <c r="I30" s="29"/>
      <c r="J30" s="29"/>
    </row>
    <row r="31" spans="2:14" ht="56.25" x14ac:dyDescent="0.25">
      <c r="B31" s="33" t="s">
        <v>112</v>
      </c>
      <c r="C31" s="7" t="s">
        <v>121</v>
      </c>
      <c r="D31" s="24" t="s">
        <v>107</v>
      </c>
      <c r="E31" s="8">
        <v>4.5999999999999996</v>
      </c>
      <c r="F31" s="26">
        <v>32719.57</v>
      </c>
      <c r="G31" s="5">
        <v>5486</v>
      </c>
      <c r="H31" s="28">
        <f>F31-G31</f>
        <v>27233.57</v>
      </c>
      <c r="I31" s="29"/>
      <c r="J31" s="29"/>
      <c r="L31" s="12"/>
    </row>
    <row r="32" spans="2:14" ht="16.5" thickBot="1" x14ac:dyDescent="0.3">
      <c r="B32" s="36" t="s">
        <v>97</v>
      </c>
      <c r="C32" s="37" t="s">
        <v>110</v>
      </c>
      <c r="D32" s="38" t="s">
        <v>107</v>
      </c>
      <c r="E32" s="39">
        <v>0.15</v>
      </c>
      <c r="F32" s="26">
        <f t="shared" si="0"/>
        <v>1036.7559512195121</v>
      </c>
      <c r="G32" s="27">
        <f t="shared" ref="G32" si="4">$N$23/$N$24*E32</f>
        <v>1047.1235107317075</v>
      </c>
      <c r="H32" s="40">
        <f>F32-G32</f>
        <v>-10.367559512195385</v>
      </c>
      <c r="I32" s="29"/>
      <c r="J32" s="29"/>
    </row>
    <row r="33" spans="2:14" ht="16.5" thickBot="1" x14ac:dyDescent="0.3">
      <c r="B33" s="41" t="s">
        <v>98</v>
      </c>
      <c r="C33" s="42"/>
      <c r="D33" s="42"/>
      <c r="E33" s="43">
        <f>SUM(E24:E32)</f>
        <v>14.85</v>
      </c>
      <c r="F33" s="44">
        <f>SUM(F24:F32)</f>
        <v>100684.68235772358</v>
      </c>
      <c r="G33" s="45">
        <f>SUM(G24:G32)</f>
        <v>74130.763481300819</v>
      </c>
      <c r="H33" s="46">
        <f>SUM(H24:H32)</f>
        <v>26553.918876422758</v>
      </c>
      <c r="I33" s="47"/>
      <c r="J33" s="47"/>
    </row>
    <row r="34" spans="2:14" x14ac:dyDescent="0.25">
      <c r="B34" s="12"/>
      <c r="C34" s="12"/>
      <c r="D34" s="12"/>
      <c r="E34" s="135"/>
      <c r="F34" s="135"/>
      <c r="G34" s="135"/>
      <c r="H34" s="136"/>
      <c r="I34" s="136"/>
      <c r="J34" s="136"/>
    </row>
    <row r="35" spans="2:14" ht="16.5" customHeight="1" thickBot="1" x14ac:dyDescent="0.3">
      <c r="B35" s="188" t="s">
        <v>165</v>
      </c>
      <c r="C35" s="188"/>
      <c r="D35" s="188"/>
      <c r="E35" s="188"/>
      <c r="F35" s="188"/>
      <c r="G35" s="188"/>
      <c r="H35" s="188"/>
      <c r="I35" s="48"/>
      <c r="J35" s="48"/>
    </row>
    <row r="36" spans="2:14" ht="44.25" customHeight="1" thickBot="1" x14ac:dyDescent="0.3">
      <c r="B36" s="110" t="s">
        <v>166</v>
      </c>
      <c r="C36" s="186" t="s">
        <v>113</v>
      </c>
      <c r="D36" s="187"/>
      <c r="E36" s="181" t="s">
        <v>10</v>
      </c>
      <c r="F36" s="189"/>
      <c r="G36" s="181" t="s">
        <v>11</v>
      </c>
      <c r="H36" s="182"/>
      <c r="I36" s="49"/>
      <c r="J36" s="49"/>
      <c r="K36" s="50"/>
      <c r="L36" s="51"/>
      <c r="M36" s="200"/>
      <c r="N36" s="200"/>
    </row>
    <row r="37" spans="2:14" x14ac:dyDescent="0.25">
      <c r="B37" s="111" t="s">
        <v>12</v>
      </c>
      <c r="C37" s="139">
        <f>E37+G37</f>
        <v>699502.60235772363</v>
      </c>
      <c r="D37" s="140"/>
      <c r="E37" s="143">
        <f>F24+F25+F26+F27+F28+F29+F30+F32+E16</f>
        <v>495292.23235772364</v>
      </c>
      <c r="F37" s="144"/>
      <c r="G37" s="143">
        <f>F31+G16</f>
        <v>204210.37</v>
      </c>
      <c r="H37" s="145"/>
      <c r="I37" s="53"/>
      <c r="J37" s="53"/>
      <c r="K37" s="9"/>
      <c r="L37" s="9"/>
      <c r="M37" s="201"/>
    </row>
    <row r="38" spans="2:14" x14ac:dyDescent="0.25">
      <c r="B38" s="52" t="s">
        <v>13</v>
      </c>
      <c r="C38" s="141">
        <f>E38+G38</f>
        <v>549269.43999999994</v>
      </c>
      <c r="D38" s="142"/>
      <c r="E38" s="141">
        <f>E17+49234.61</f>
        <v>393467.09</v>
      </c>
      <c r="F38" s="142"/>
      <c r="G38" s="141">
        <f>G17+22738.87</f>
        <v>155802.34999999998</v>
      </c>
      <c r="H38" s="146"/>
      <c r="I38" s="53"/>
      <c r="J38" s="53"/>
      <c r="K38" s="11"/>
      <c r="L38" s="9"/>
      <c r="M38" s="201"/>
    </row>
    <row r="39" spans="2:14" ht="16.5" thickBot="1" x14ac:dyDescent="0.3">
      <c r="B39" s="54" t="s">
        <v>87</v>
      </c>
      <c r="C39" s="147">
        <f>E39+G39</f>
        <v>680828.7682813009</v>
      </c>
      <c r="D39" s="148"/>
      <c r="E39" s="150">
        <f>G24+G25+G26+G27+G28+G29+G30+G32+E18</f>
        <v>493596.7682813009</v>
      </c>
      <c r="F39" s="151"/>
      <c r="G39" s="150">
        <f>G31+G18</f>
        <v>187232</v>
      </c>
      <c r="H39" s="152"/>
      <c r="I39" s="53"/>
      <c r="J39" s="53"/>
      <c r="K39" s="55"/>
      <c r="L39" s="55"/>
    </row>
    <row r="40" spans="2:14" ht="29.25" customHeight="1" thickBot="1" x14ac:dyDescent="0.3">
      <c r="B40" s="13" t="s">
        <v>150</v>
      </c>
      <c r="C40" s="156">
        <f>E40+G40</f>
        <v>-131559.3282813009</v>
      </c>
      <c r="D40" s="157"/>
      <c r="E40" s="154">
        <f>E38-E39</f>
        <v>-100129.67828130088</v>
      </c>
      <c r="F40" s="155"/>
      <c r="G40" s="154">
        <f>G38-G39</f>
        <v>-31429.650000000023</v>
      </c>
      <c r="H40" s="158"/>
      <c r="I40" s="53"/>
      <c r="J40" s="53"/>
      <c r="K40" s="55"/>
      <c r="L40" s="55"/>
    </row>
    <row r="41" spans="2:14" ht="34.5" customHeight="1" x14ac:dyDescent="0.25">
      <c r="B41" s="128" t="s">
        <v>88</v>
      </c>
      <c r="C41" s="149" t="s">
        <v>155</v>
      </c>
      <c r="D41" s="149"/>
      <c r="E41" s="149"/>
      <c r="F41" s="153" t="s">
        <v>14</v>
      </c>
      <c r="G41" s="153"/>
      <c r="H41" s="128"/>
      <c r="I41" s="128"/>
      <c r="J41" s="128"/>
      <c r="K41" s="2"/>
      <c r="L41" s="2"/>
      <c r="M41" s="199"/>
      <c r="N41" s="199"/>
    </row>
    <row r="42" spans="2:14" ht="11.25" customHeight="1" x14ac:dyDescent="0.25">
      <c r="B42" s="128"/>
      <c r="C42" s="128"/>
      <c r="D42" s="128"/>
      <c r="E42" s="127"/>
      <c r="F42" s="160"/>
      <c r="G42" s="160"/>
      <c r="H42" s="129"/>
      <c r="I42" s="129"/>
      <c r="J42" s="129"/>
      <c r="K42" s="2"/>
      <c r="L42" s="2"/>
      <c r="M42" s="199"/>
      <c r="N42" s="199"/>
    </row>
    <row r="43" spans="2:14" x14ac:dyDescent="0.25">
      <c r="B43" s="128" t="s">
        <v>89</v>
      </c>
      <c r="C43" s="149" t="s">
        <v>155</v>
      </c>
      <c r="D43" s="149"/>
      <c r="E43" s="149"/>
      <c r="F43" s="153" t="s">
        <v>100</v>
      </c>
      <c r="G43" s="153"/>
      <c r="H43" s="128"/>
      <c r="I43" s="128"/>
      <c r="J43" s="128"/>
      <c r="K43" s="2"/>
      <c r="L43" s="2"/>
      <c r="M43" s="199"/>
      <c r="N43" s="199"/>
    </row>
    <row r="44" spans="2:14" ht="9.75" customHeight="1" x14ac:dyDescent="0.25">
      <c r="B44" s="128"/>
      <c r="C44" s="128"/>
      <c r="D44" s="128"/>
      <c r="E44" s="127"/>
      <c r="F44" s="153"/>
      <c r="G44" s="153"/>
      <c r="H44" s="128"/>
      <c r="I44" s="128"/>
      <c r="J44" s="128"/>
    </row>
    <row r="45" spans="2:14" x14ac:dyDescent="0.25">
      <c r="B45" s="128" t="s">
        <v>90</v>
      </c>
      <c r="C45" s="149" t="s">
        <v>155</v>
      </c>
      <c r="D45" s="149"/>
      <c r="E45" s="149"/>
      <c r="F45" s="153" t="s">
        <v>114</v>
      </c>
      <c r="G45" s="153"/>
      <c r="H45" s="128"/>
      <c r="I45" s="128"/>
      <c r="J45" s="128"/>
    </row>
    <row r="46" spans="2:14" ht="8.25" customHeight="1" x14ac:dyDescent="0.25">
      <c r="B46" s="56"/>
      <c r="C46" s="56"/>
      <c r="D46" s="56"/>
      <c r="E46" s="127"/>
      <c r="F46" s="57"/>
      <c r="G46" s="58"/>
      <c r="H46" s="59"/>
      <c r="I46" s="59"/>
      <c r="J46" s="59"/>
    </row>
    <row r="47" spans="2:14" x14ac:dyDescent="0.25">
      <c r="B47" s="128" t="s">
        <v>91</v>
      </c>
      <c r="C47" s="149" t="s">
        <v>155</v>
      </c>
      <c r="D47" s="149"/>
      <c r="E47" s="149"/>
      <c r="F47" s="153" t="s">
        <v>114</v>
      </c>
      <c r="G47" s="153"/>
    </row>
    <row r="48" spans="2:14" ht="9" customHeight="1" x14ac:dyDescent="0.25">
      <c r="B48" s="60"/>
      <c r="C48" s="60"/>
      <c r="D48" s="60"/>
      <c r="E48" s="127"/>
      <c r="F48" s="159"/>
      <c r="G48" s="159"/>
    </row>
    <row r="49" spans="3:3" x14ac:dyDescent="0.25">
      <c r="C49" s="75"/>
    </row>
    <row r="50" spans="3:3" x14ac:dyDescent="0.25">
      <c r="C50" s="75"/>
    </row>
    <row r="51" spans="3:3" x14ac:dyDescent="0.25">
      <c r="C51" s="75"/>
    </row>
    <row r="52" spans="3:3" x14ac:dyDescent="0.25">
      <c r="C52" s="75"/>
    </row>
    <row r="53" spans="3:3" x14ac:dyDescent="0.25">
      <c r="C53" s="75"/>
    </row>
    <row r="54" spans="3:3" x14ac:dyDescent="0.25">
      <c r="C54" s="75"/>
    </row>
  </sheetData>
  <mergeCells count="55">
    <mergeCell ref="B1:H1"/>
    <mergeCell ref="B2:H3"/>
    <mergeCell ref="B21:H21"/>
    <mergeCell ref="B22:B23"/>
    <mergeCell ref="C22:C23"/>
    <mergeCell ref="D22:D23"/>
    <mergeCell ref="E22:E23"/>
    <mergeCell ref="F22:G22"/>
    <mergeCell ref="H22:H23"/>
    <mergeCell ref="D5:E5"/>
    <mergeCell ref="B14:H14"/>
    <mergeCell ref="C15:D15"/>
    <mergeCell ref="E15:F15"/>
    <mergeCell ref="G15:H15"/>
    <mergeCell ref="C16:D16"/>
    <mergeCell ref="E16:F16"/>
    <mergeCell ref="F48:G48"/>
    <mergeCell ref="E37:F37"/>
    <mergeCell ref="F44:G44"/>
    <mergeCell ref="E38:F38"/>
    <mergeCell ref="F45:G45"/>
    <mergeCell ref="E39:F39"/>
    <mergeCell ref="F42:G42"/>
    <mergeCell ref="F43:G43"/>
    <mergeCell ref="E40:F40"/>
    <mergeCell ref="F47:G47"/>
    <mergeCell ref="G37:H37"/>
    <mergeCell ref="G40:H40"/>
    <mergeCell ref="G38:H38"/>
    <mergeCell ref="F41:G41"/>
    <mergeCell ref="G39:H39"/>
    <mergeCell ref="C41:E41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43:E43"/>
    <mergeCell ref="C45:E45"/>
    <mergeCell ref="C47:E47"/>
    <mergeCell ref="M21:M22"/>
    <mergeCell ref="N21:N22"/>
    <mergeCell ref="C36:D36"/>
    <mergeCell ref="C37:D37"/>
    <mergeCell ref="C38:D38"/>
    <mergeCell ref="E36:F36"/>
    <mergeCell ref="B35:H35"/>
    <mergeCell ref="G36:H36"/>
    <mergeCell ref="C39:D39"/>
    <mergeCell ref="C40:D40"/>
  </mergeCells>
  <printOptions horizontalCentered="1"/>
  <pageMargins left="0.19685039370078741" right="0.19685039370078741" top="0.16" bottom="0.24" header="0.31" footer="0.24"/>
  <pageSetup paperSize="9" scale="4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53"/>
  <sheetViews>
    <sheetView zoomScale="110" zoomScaleNormal="110" workbookViewId="0">
      <selection activeCell="M1" sqref="M1:N1048576"/>
    </sheetView>
  </sheetViews>
  <sheetFormatPr defaultColWidth="9.140625" defaultRowHeight="15.75" outlineLevelRow="1" x14ac:dyDescent="0.25"/>
  <cols>
    <col min="1" max="1" width="2.85546875" style="3" customWidth="1"/>
    <col min="2" max="2" width="58" style="3" customWidth="1"/>
    <col min="3" max="3" width="15.28515625" style="61" customWidth="1"/>
    <col min="4" max="4" width="10.28515625" style="4" customWidth="1"/>
    <col min="5" max="5" width="10.42578125" style="4" customWidth="1"/>
    <col min="6" max="6" width="10.7109375" style="3" customWidth="1"/>
    <col min="7" max="7" width="12" style="3" customWidth="1"/>
    <col min="8" max="8" width="10.42578125" style="3" customWidth="1"/>
    <col min="9" max="9" width="12.28515625" style="3" customWidth="1"/>
    <col min="10" max="12" width="9.140625" style="3"/>
    <col min="13" max="13" width="14" style="194" customWidth="1"/>
    <col min="14" max="14" width="16.7109375" style="194" customWidth="1"/>
    <col min="15" max="16384" width="9.140625" style="3"/>
  </cols>
  <sheetData>
    <row r="1" spans="1:9" x14ac:dyDescent="0.25">
      <c r="B1" s="184" t="s">
        <v>117</v>
      </c>
      <c r="C1" s="184"/>
      <c r="D1" s="184"/>
      <c r="E1" s="184"/>
      <c r="F1" s="184"/>
      <c r="G1" s="184"/>
      <c r="H1" s="184"/>
    </row>
    <row r="2" spans="1:9" x14ac:dyDescent="0.25">
      <c r="B2" s="184" t="s">
        <v>118</v>
      </c>
      <c r="C2" s="184"/>
      <c r="D2" s="184"/>
      <c r="E2" s="184"/>
      <c r="F2" s="184"/>
      <c r="G2" s="184"/>
      <c r="H2" s="184"/>
    </row>
    <row r="3" spans="1:9" x14ac:dyDescent="0.25">
      <c r="B3" s="184" t="s">
        <v>160</v>
      </c>
      <c r="C3" s="184"/>
      <c r="D3" s="184"/>
      <c r="E3" s="184"/>
      <c r="F3" s="184"/>
      <c r="G3" s="184"/>
      <c r="H3" s="184"/>
    </row>
    <row r="4" spans="1:9" x14ac:dyDescent="0.25">
      <c r="B4" s="184" t="s">
        <v>168</v>
      </c>
      <c r="C4" s="184"/>
      <c r="D4" s="184"/>
      <c r="E4" s="184"/>
      <c r="F4" s="184"/>
      <c r="G4" s="184"/>
      <c r="H4" s="184"/>
    </row>
    <row r="5" spans="1:9" ht="9" customHeight="1" x14ac:dyDescent="0.3">
      <c r="A5" s="14"/>
      <c r="B5" s="125"/>
      <c r="C5" s="125"/>
      <c r="D5" s="125"/>
      <c r="E5" s="125"/>
      <c r="F5" s="125"/>
      <c r="G5" s="125"/>
      <c r="H5" s="125"/>
    </row>
    <row r="6" spans="1:9" ht="26.25" customHeight="1" x14ac:dyDescent="0.3">
      <c r="A6" s="14"/>
      <c r="B6" s="185" t="s">
        <v>169</v>
      </c>
      <c r="C6" s="185"/>
      <c r="D6" s="185"/>
      <c r="E6" s="185"/>
      <c r="F6" s="185"/>
      <c r="G6" s="185"/>
      <c r="H6" s="185"/>
    </row>
    <row r="7" spans="1:9" ht="16.5" customHeight="1" x14ac:dyDescent="0.25">
      <c r="B7" s="185"/>
      <c r="C7" s="185"/>
      <c r="D7" s="185"/>
      <c r="E7" s="185"/>
      <c r="F7" s="185"/>
      <c r="G7" s="185"/>
      <c r="H7" s="185"/>
    </row>
    <row r="8" spans="1:9" ht="8.25" customHeight="1" x14ac:dyDescent="0.35">
      <c r="B8" s="6"/>
      <c r="C8" s="6"/>
      <c r="D8" s="6"/>
      <c r="E8" s="6"/>
      <c r="F8" s="6"/>
      <c r="G8" s="6"/>
      <c r="H8" s="6"/>
    </row>
    <row r="9" spans="1:9" x14ac:dyDescent="0.25">
      <c r="B9" s="105" t="s">
        <v>0</v>
      </c>
      <c r="C9" s="106"/>
      <c r="D9" s="178" t="s">
        <v>71</v>
      </c>
      <c r="E9" s="178"/>
      <c r="F9" s="105"/>
    </row>
    <row r="10" spans="1:9" x14ac:dyDescent="0.25">
      <c r="B10" s="105" t="s">
        <v>1</v>
      </c>
      <c r="C10" s="106"/>
      <c r="D10" s="107">
        <v>1991</v>
      </c>
      <c r="E10" s="107"/>
      <c r="F10" s="105"/>
    </row>
    <row r="11" spans="1:9" hidden="1" outlineLevel="1" x14ac:dyDescent="0.25">
      <c r="B11" s="105" t="s">
        <v>2</v>
      </c>
      <c r="C11" s="106"/>
      <c r="D11" s="107">
        <v>4</v>
      </c>
      <c r="E11" s="107"/>
      <c r="F11" s="105"/>
    </row>
    <row r="12" spans="1:9" hidden="1" outlineLevel="1" x14ac:dyDescent="0.25">
      <c r="B12" s="105" t="s">
        <v>3</v>
      </c>
      <c r="C12" s="106"/>
      <c r="D12" s="107">
        <v>31</v>
      </c>
      <c r="E12" s="107"/>
      <c r="F12" s="105"/>
    </row>
    <row r="13" spans="1:9" ht="30.75" hidden="1" customHeight="1" outlineLevel="1" x14ac:dyDescent="0.25">
      <c r="B13" s="108" t="s">
        <v>4</v>
      </c>
      <c r="C13" s="109"/>
      <c r="D13" s="107" t="s">
        <v>72</v>
      </c>
      <c r="E13" s="107"/>
      <c r="F13" s="105"/>
    </row>
    <row r="14" spans="1:9" collapsed="1" x14ac:dyDescent="0.25">
      <c r="B14" s="105" t="s">
        <v>5</v>
      </c>
      <c r="C14" s="106"/>
      <c r="D14" s="107" t="s">
        <v>143</v>
      </c>
      <c r="E14" s="107"/>
      <c r="F14" s="105"/>
      <c r="I14" s="12"/>
    </row>
    <row r="15" spans="1:9" hidden="1" outlineLevel="1" x14ac:dyDescent="0.25">
      <c r="B15" s="3" t="s">
        <v>6</v>
      </c>
      <c r="D15" s="16" t="s">
        <v>7</v>
      </c>
      <c r="E15" s="16"/>
    </row>
    <row r="16" spans="1:9" ht="30.75" hidden="1" customHeight="1" outlineLevel="1" x14ac:dyDescent="0.25">
      <c r="B16" s="17" t="s">
        <v>8</v>
      </c>
      <c r="C16" s="62"/>
      <c r="D16" s="97" t="s">
        <v>73</v>
      </c>
      <c r="E16" s="16"/>
      <c r="I16" s="12"/>
    </row>
    <row r="17" spans="2:14" ht="16.5" collapsed="1" thickBot="1" x14ac:dyDescent="0.3">
      <c r="B17" s="188" t="s">
        <v>157</v>
      </c>
      <c r="C17" s="188"/>
      <c r="D17" s="188"/>
      <c r="E17" s="188"/>
      <c r="F17" s="188"/>
      <c r="G17" s="188"/>
      <c r="H17" s="188"/>
      <c r="I17" s="12"/>
    </row>
    <row r="18" spans="2:14" ht="40.5" customHeight="1" thickBot="1" x14ac:dyDescent="0.3">
      <c r="B18" s="110" t="s">
        <v>158</v>
      </c>
      <c r="C18" s="186" t="s">
        <v>113</v>
      </c>
      <c r="D18" s="187"/>
      <c r="E18" s="181" t="s">
        <v>10</v>
      </c>
      <c r="F18" s="189"/>
      <c r="G18" s="181" t="s">
        <v>11</v>
      </c>
      <c r="H18" s="182"/>
      <c r="I18" s="12"/>
    </row>
    <row r="19" spans="2:14" x14ac:dyDescent="0.25">
      <c r="B19" s="111" t="s">
        <v>12</v>
      </c>
      <c r="C19" s="139">
        <v>1735537.3399999999</v>
      </c>
      <c r="D19" s="175"/>
      <c r="E19" s="143">
        <v>1243124.01</v>
      </c>
      <c r="F19" s="144"/>
      <c r="G19" s="143">
        <v>492413.32999999996</v>
      </c>
      <c r="H19" s="145"/>
      <c r="I19" s="12"/>
    </row>
    <row r="20" spans="2:14" x14ac:dyDescent="0.25">
      <c r="B20" s="52" t="s">
        <v>13</v>
      </c>
      <c r="C20" s="141">
        <v>1621743.7599999998</v>
      </c>
      <c r="D20" s="173"/>
      <c r="E20" s="141">
        <v>1161516.8599999999</v>
      </c>
      <c r="F20" s="142"/>
      <c r="G20" s="141">
        <v>460226.9</v>
      </c>
      <c r="H20" s="146"/>
      <c r="I20" s="12"/>
    </row>
    <row r="21" spans="2:14" ht="16.5" thickBot="1" x14ac:dyDescent="0.3">
      <c r="B21" s="54" t="s">
        <v>87</v>
      </c>
      <c r="C21" s="147">
        <v>1806377.2300000002</v>
      </c>
      <c r="D21" s="174"/>
      <c r="E21" s="150">
        <v>1236597.2300000002</v>
      </c>
      <c r="F21" s="151"/>
      <c r="G21" s="150">
        <v>569780</v>
      </c>
      <c r="H21" s="152"/>
      <c r="I21" s="12"/>
    </row>
    <row r="22" spans="2:14" ht="25.5" thickBot="1" x14ac:dyDescent="0.3">
      <c r="B22" s="13" t="s">
        <v>149</v>
      </c>
      <c r="C22" s="156">
        <f>C20-C21</f>
        <v>-184633.47000000044</v>
      </c>
      <c r="D22" s="157"/>
      <c r="E22" s="154">
        <f>E20-E21</f>
        <v>-75080.370000000345</v>
      </c>
      <c r="F22" s="155"/>
      <c r="G22" s="154">
        <f>G20-G21</f>
        <v>-109553.09999999998</v>
      </c>
      <c r="H22" s="158"/>
      <c r="I22" s="12"/>
    </row>
    <row r="23" spans="2:14" x14ac:dyDescent="0.25">
      <c r="B23" s="17"/>
      <c r="C23" s="62"/>
      <c r="D23" s="97"/>
      <c r="E23" s="96"/>
      <c r="I23" s="12"/>
    </row>
    <row r="24" spans="2:14" ht="34.5" customHeight="1" thickBot="1" x14ac:dyDescent="0.3">
      <c r="B24" s="183" t="s">
        <v>163</v>
      </c>
      <c r="C24" s="183"/>
      <c r="D24" s="183"/>
      <c r="E24" s="183"/>
      <c r="F24" s="183"/>
      <c r="G24" s="183"/>
      <c r="H24" s="183"/>
      <c r="L24" s="12"/>
      <c r="M24" s="195" t="s">
        <v>151</v>
      </c>
      <c r="N24" s="195" t="s">
        <v>152</v>
      </c>
    </row>
    <row r="25" spans="2:14" ht="31.5" customHeight="1" x14ac:dyDescent="0.25">
      <c r="B25" s="162" t="s">
        <v>101</v>
      </c>
      <c r="C25" s="164" t="s">
        <v>102</v>
      </c>
      <c r="D25" s="164" t="s">
        <v>103</v>
      </c>
      <c r="E25" s="166" t="s">
        <v>167</v>
      </c>
      <c r="F25" s="168" t="s">
        <v>104</v>
      </c>
      <c r="G25" s="169"/>
      <c r="H25" s="170" t="s">
        <v>123</v>
      </c>
      <c r="L25" s="12"/>
      <c r="M25" s="196"/>
      <c r="N25" s="196"/>
    </row>
    <row r="26" spans="2:14" ht="44.25" customHeight="1" thickBot="1" x14ac:dyDescent="0.3">
      <c r="B26" s="163"/>
      <c r="C26" s="165"/>
      <c r="D26" s="165"/>
      <c r="E26" s="167"/>
      <c r="F26" s="21" t="s">
        <v>92</v>
      </c>
      <c r="G26" s="22" t="s">
        <v>93</v>
      </c>
      <c r="H26" s="171"/>
      <c r="M26" s="197">
        <v>200639.95</v>
      </c>
      <c r="N26" s="197">
        <f>M26*1.01</f>
        <v>202646.34950000001</v>
      </c>
    </row>
    <row r="27" spans="2:14" ht="38.25" x14ac:dyDescent="0.25">
      <c r="B27" s="23" t="s">
        <v>105</v>
      </c>
      <c r="C27" s="35" t="s">
        <v>106</v>
      </c>
      <c r="D27" s="24" t="s">
        <v>107</v>
      </c>
      <c r="E27" s="25">
        <v>1.06</v>
      </c>
      <c r="F27" s="26">
        <f>$M$26/$M$27*E27</f>
        <v>20648.383203883503</v>
      </c>
      <c r="G27" s="27">
        <f>$N$26/$N$27*E27</f>
        <v>20854.86703592234</v>
      </c>
      <c r="H27" s="28">
        <f>F27-G27</f>
        <v>-206.48383203883714</v>
      </c>
      <c r="I27" s="78"/>
      <c r="J27" s="30"/>
      <c r="K27" s="30"/>
      <c r="L27" s="31"/>
      <c r="M27" s="198">
        <f>E36-E34</f>
        <v>10.299999999999997</v>
      </c>
      <c r="N27" s="198">
        <f>E36-E34</f>
        <v>10.299999999999997</v>
      </c>
    </row>
    <row r="28" spans="2:14" ht="51.75" x14ac:dyDescent="0.25">
      <c r="B28" s="79" t="s">
        <v>99</v>
      </c>
      <c r="C28" s="35" t="s">
        <v>106</v>
      </c>
      <c r="D28" s="24" t="s">
        <v>107</v>
      </c>
      <c r="E28" s="8">
        <v>1.19</v>
      </c>
      <c r="F28" s="26">
        <f t="shared" ref="F28:F35" si="0">$M$26/$M$27*E28</f>
        <v>23180.732087378645</v>
      </c>
      <c r="G28" s="27">
        <f t="shared" ref="G28:G32" si="1">$N$26/$N$27*E28</f>
        <v>23412.539408252436</v>
      </c>
      <c r="H28" s="28">
        <f t="shared" ref="H28:H33" si="2">F28-G28</f>
        <v>-231.80732087379147</v>
      </c>
      <c r="I28" s="80"/>
      <c r="J28" s="2"/>
      <c r="K28" s="2"/>
      <c r="L28" s="2"/>
      <c r="M28" s="199"/>
      <c r="N28" s="199"/>
    </row>
    <row r="29" spans="2:14" ht="24" x14ac:dyDescent="0.25">
      <c r="B29" s="33" t="s">
        <v>94</v>
      </c>
      <c r="C29" s="35" t="s">
        <v>106</v>
      </c>
      <c r="D29" s="24" t="s">
        <v>107</v>
      </c>
      <c r="E29" s="8">
        <v>0.32</v>
      </c>
      <c r="F29" s="26">
        <f t="shared" si="0"/>
        <v>6233.4741747572834</v>
      </c>
      <c r="G29" s="27">
        <f t="shared" si="1"/>
        <v>6295.8089165048568</v>
      </c>
      <c r="H29" s="28">
        <f t="shared" si="2"/>
        <v>-62.334741747573389</v>
      </c>
      <c r="I29" s="55"/>
      <c r="L29" s="12"/>
    </row>
    <row r="30" spans="2:14" ht="28.5" customHeight="1" x14ac:dyDescent="0.25">
      <c r="B30" s="81" t="s">
        <v>108</v>
      </c>
      <c r="C30" s="34" t="s">
        <v>109</v>
      </c>
      <c r="D30" s="24" t="s">
        <v>107</v>
      </c>
      <c r="E30" s="8">
        <v>0</v>
      </c>
      <c r="F30" s="26">
        <f t="shared" si="0"/>
        <v>0</v>
      </c>
      <c r="G30" s="27">
        <f t="shared" si="1"/>
        <v>0</v>
      </c>
      <c r="H30" s="28">
        <f t="shared" si="2"/>
        <v>0</v>
      </c>
      <c r="I30" s="55"/>
      <c r="L30" s="12"/>
    </row>
    <row r="31" spans="2:14" ht="57.75" customHeight="1" x14ac:dyDescent="0.25">
      <c r="B31" s="79" t="s">
        <v>95</v>
      </c>
      <c r="C31" s="7" t="s">
        <v>122</v>
      </c>
      <c r="D31" s="24" t="s">
        <v>107</v>
      </c>
      <c r="E31" s="8">
        <v>1.18</v>
      </c>
      <c r="F31" s="26">
        <f t="shared" si="0"/>
        <v>22985.936019417481</v>
      </c>
      <c r="G31" s="27">
        <f t="shared" si="1"/>
        <v>23215.79537961166</v>
      </c>
      <c r="H31" s="28">
        <f t="shared" si="2"/>
        <v>-229.85936019417932</v>
      </c>
      <c r="I31" s="55"/>
    </row>
    <row r="32" spans="2:14" ht="213.75" customHeight="1" x14ac:dyDescent="0.25">
      <c r="B32" s="32" t="s">
        <v>119</v>
      </c>
      <c r="C32" s="35" t="s">
        <v>110</v>
      </c>
      <c r="D32" s="24" t="s">
        <v>107</v>
      </c>
      <c r="E32" s="8">
        <v>5.61</v>
      </c>
      <c r="F32" s="26">
        <f t="shared" si="0"/>
        <v>109280.59412621363</v>
      </c>
      <c r="G32" s="27">
        <f t="shared" si="1"/>
        <v>110373.40006747578</v>
      </c>
      <c r="H32" s="28">
        <f t="shared" si="2"/>
        <v>-1092.8059412621515</v>
      </c>
      <c r="I32" s="80"/>
      <c r="J32" s="2"/>
      <c r="K32" s="2"/>
      <c r="L32" s="1"/>
      <c r="M32" s="199"/>
      <c r="N32" s="199"/>
    </row>
    <row r="33" spans="2:14" ht="114" customHeight="1" x14ac:dyDescent="0.25">
      <c r="B33" s="79" t="s">
        <v>111</v>
      </c>
      <c r="C33" s="35" t="s">
        <v>106</v>
      </c>
      <c r="D33" s="24" t="s">
        <v>107</v>
      </c>
      <c r="E33" s="8">
        <v>0.24</v>
      </c>
      <c r="F33" s="26">
        <f t="shared" si="0"/>
        <v>4675.1056310679623</v>
      </c>
      <c r="G33" s="27">
        <f t="shared" ref="G33" si="3">$N$26/$N$27*E33</f>
        <v>4721.8566873786422</v>
      </c>
      <c r="H33" s="28">
        <f t="shared" si="2"/>
        <v>-46.751056310679814</v>
      </c>
      <c r="I33" s="55"/>
    </row>
    <row r="34" spans="2:14" ht="24" x14ac:dyDescent="0.25">
      <c r="B34" s="33" t="s">
        <v>112</v>
      </c>
      <c r="C34" s="35" t="s">
        <v>106</v>
      </c>
      <c r="D34" s="24" t="s">
        <v>107</v>
      </c>
      <c r="E34" s="8">
        <v>4.6399999999999997</v>
      </c>
      <c r="F34" s="26">
        <v>90385.37</v>
      </c>
      <c r="G34" s="5">
        <v>26595</v>
      </c>
      <c r="H34" s="28">
        <f>F34-G34</f>
        <v>63790.369999999995</v>
      </c>
      <c r="I34" s="55"/>
      <c r="L34" s="12"/>
    </row>
    <row r="35" spans="2:14" ht="16.5" thickBot="1" x14ac:dyDescent="0.3">
      <c r="B35" s="82" t="s">
        <v>97</v>
      </c>
      <c r="C35" s="37" t="s">
        <v>110</v>
      </c>
      <c r="D35" s="38" t="s">
        <v>107</v>
      </c>
      <c r="E35" s="39">
        <v>0.7</v>
      </c>
      <c r="F35" s="26">
        <f t="shared" si="0"/>
        <v>13635.724757281556</v>
      </c>
      <c r="G35" s="27">
        <f t="shared" ref="G35" si="4">$N$26/$N$27*E35</f>
        <v>13772.082004854374</v>
      </c>
      <c r="H35" s="40">
        <f>F35-G35</f>
        <v>-136.35724757281787</v>
      </c>
      <c r="I35" s="55"/>
    </row>
    <row r="36" spans="2:14" ht="16.5" thickBot="1" x14ac:dyDescent="0.3">
      <c r="B36" s="84" t="s">
        <v>98</v>
      </c>
      <c r="C36" s="42"/>
      <c r="D36" s="42"/>
      <c r="E36" s="43">
        <f>SUM(E27:E35)</f>
        <v>14.939999999999998</v>
      </c>
      <c r="F36" s="44">
        <f>SUM(F27:F35)</f>
        <v>291025.32</v>
      </c>
      <c r="G36" s="45">
        <f>SUM(G27:G35)</f>
        <v>229241.34950000007</v>
      </c>
      <c r="H36" s="46">
        <f>SUM(H27:H35)</f>
        <v>61783.970499999967</v>
      </c>
      <c r="I36" s="124"/>
    </row>
    <row r="37" spans="2:14" x14ac:dyDescent="0.25">
      <c r="B37" s="12"/>
      <c r="C37" s="12"/>
      <c r="D37" s="12"/>
      <c r="E37" s="15"/>
      <c r="F37" s="15"/>
      <c r="G37" s="15"/>
      <c r="H37" s="4"/>
    </row>
    <row r="38" spans="2:14" ht="16.5" customHeight="1" thickBot="1" x14ac:dyDescent="0.3">
      <c r="B38" s="188" t="s">
        <v>165</v>
      </c>
      <c r="C38" s="188"/>
      <c r="D38" s="188"/>
      <c r="E38" s="188"/>
      <c r="F38" s="188"/>
      <c r="G38" s="188"/>
      <c r="H38" s="188"/>
      <c r="I38" s="88"/>
      <c r="J38" s="88"/>
    </row>
    <row r="39" spans="2:14" ht="42" customHeight="1" thickBot="1" x14ac:dyDescent="0.3">
      <c r="B39" s="110" t="s">
        <v>166</v>
      </c>
      <c r="C39" s="186" t="s">
        <v>113</v>
      </c>
      <c r="D39" s="187"/>
      <c r="E39" s="181" t="s">
        <v>10</v>
      </c>
      <c r="F39" s="189"/>
      <c r="G39" s="181" t="s">
        <v>11</v>
      </c>
      <c r="H39" s="182"/>
      <c r="I39" s="89"/>
      <c r="J39" s="90"/>
      <c r="K39" s="50"/>
      <c r="L39" s="51"/>
      <c r="M39" s="200"/>
      <c r="N39" s="200"/>
    </row>
    <row r="40" spans="2:14" x14ac:dyDescent="0.25">
      <c r="B40" s="111" t="s">
        <v>12</v>
      </c>
      <c r="C40" s="143">
        <f>E40+G40</f>
        <v>2026562.66</v>
      </c>
      <c r="D40" s="144"/>
      <c r="E40" s="143">
        <f>F27+F28+F29+F30+F31+F32+F33+F35+E19</f>
        <v>1443763.96</v>
      </c>
      <c r="F40" s="144"/>
      <c r="G40" s="143">
        <f>F34+G19</f>
        <v>582798.69999999995</v>
      </c>
      <c r="H40" s="145"/>
      <c r="I40" s="91"/>
      <c r="J40" s="90"/>
      <c r="K40" s="9"/>
      <c r="L40" s="9"/>
      <c r="M40" s="201"/>
    </row>
    <row r="41" spans="2:14" x14ac:dyDescent="0.25">
      <c r="B41" s="52" t="s">
        <v>13</v>
      </c>
      <c r="C41" s="141">
        <f>E41+G41</f>
        <v>1892231.88</v>
      </c>
      <c r="D41" s="142"/>
      <c r="E41" s="141">
        <f>E20+186481.1</f>
        <v>1347997.96</v>
      </c>
      <c r="F41" s="142"/>
      <c r="G41" s="141">
        <f>G20+84007.02</f>
        <v>544233.92000000004</v>
      </c>
      <c r="H41" s="146"/>
      <c r="I41" s="91"/>
      <c r="J41" s="90"/>
      <c r="K41" s="11"/>
      <c r="L41" s="9"/>
      <c r="M41" s="201"/>
    </row>
    <row r="42" spans="2:14" ht="16.5" thickBot="1" x14ac:dyDescent="0.3">
      <c r="B42" s="54" t="s">
        <v>87</v>
      </c>
      <c r="C42" s="150">
        <f>E42+G42</f>
        <v>2035618.5795000002</v>
      </c>
      <c r="D42" s="151"/>
      <c r="E42" s="150">
        <f>G27+G28+G29+G30+G31+G32+G33+G35+E21</f>
        <v>1439243.5795000002</v>
      </c>
      <c r="F42" s="151"/>
      <c r="G42" s="150">
        <f>G34+G21</f>
        <v>596375</v>
      </c>
      <c r="H42" s="152"/>
      <c r="I42" s="91"/>
      <c r="J42" s="90"/>
      <c r="K42" s="55"/>
      <c r="L42" s="55"/>
    </row>
    <row r="43" spans="2:14" ht="29.25" customHeight="1" thickBot="1" x14ac:dyDescent="0.3">
      <c r="B43" s="13" t="s">
        <v>150</v>
      </c>
      <c r="C43" s="156">
        <f>E43+G43</f>
        <v>-143386.69950000022</v>
      </c>
      <c r="D43" s="157"/>
      <c r="E43" s="154">
        <f>E41-E42</f>
        <v>-91245.619500000263</v>
      </c>
      <c r="F43" s="155"/>
      <c r="G43" s="154">
        <f>G41-G42</f>
        <v>-52141.079999999958</v>
      </c>
      <c r="H43" s="158"/>
      <c r="I43" s="91"/>
      <c r="J43" s="90"/>
      <c r="K43" s="55"/>
      <c r="L43" s="55"/>
    </row>
    <row r="44" spans="2:14" ht="15" customHeight="1" x14ac:dyDescent="0.25">
      <c r="B44" s="85"/>
      <c r="C44" s="112"/>
      <c r="D44" s="112"/>
      <c r="E44" s="113"/>
      <c r="F44" s="113"/>
      <c r="G44" s="113"/>
      <c r="H44" s="113"/>
      <c r="I44" s="92"/>
      <c r="J44" s="2"/>
      <c r="K44" s="2"/>
      <c r="L44" s="2"/>
      <c r="M44" s="199"/>
      <c r="N44" s="199"/>
    </row>
    <row r="45" spans="2:14" ht="15" customHeight="1" x14ac:dyDescent="0.25">
      <c r="B45" s="92" t="s">
        <v>88</v>
      </c>
      <c r="C45" s="180" t="s">
        <v>153</v>
      </c>
      <c r="D45" s="180"/>
      <c r="E45" s="180"/>
      <c r="F45" s="153" t="s">
        <v>14</v>
      </c>
      <c r="G45" s="153"/>
      <c r="H45" s="92"/>
      <c r="I45" s="92"/>
      <c r="J45" s="2"/>
      <c r="K45" s="2"/>
      <c r="L45" s="2"/>
      <c r="M45" s="199"/>
      <c r="N45" s="199"/>
    </row>
    <row r="46" spans="2:14" ht="9" customHeight="1" x14ac:dyDescent="0.25">
      <c r="B46" s="92"/>
      <c r="C46" s="86"/>
      <c r="D46" s="86"/>
      <c r="E46" s="98"/>
      <c r="F46" s="160"/>
      <c r="G46" s="160"/>
      <c r="H46" s="92"/>
      <c r="I46" s="92"/>
      <c r="J46" s="2"/>
      <c r="K46" s="2"/>
      <c r="L46" s="2"/>
      <c r="M46" s="199"/>
      <c r="N46" s="199"/>
    </row>
    <row r="47" spans="2:14" ht="15" customHeight="1" x14ac:dyDescent="0.25">
      <c r="B47" s="92" t="s">
        <v>89</v>
      </c>
      <c r="C47" s="180" t="s">
        <v>153</v>
      </c>
      <c r="D47" s="180"/>
      <c r="E47" s="180"/>
      <c r="F47" s="153" t="s">
        <v>100</v>
      </c>
      <c r="G47" s="153"/>
      <c r="H47" s="92"/>
      <c r="I47" s="92"/>
    </row>
    <row r="48" spans="2:14" ht="9.75" customHeight="1" x14ac:dyDescent="0.25">
      <c r="B48" s="92"/>
      <c r="C48" s="86"/>
      <c r="D48" s="86"/>
      <c r="E48" s="98"/>
      <c r="F48" s="153"/>
      <c r="G48" s="153"/>
      <c r="H48" s="92"/>
      <c r="I48" s="92"/>
    </row>
    <row r="49" spans="2:9" ht="15" customHeight="1" x14ac:dyDescent="0.25">
      <c r="B49" s="92" t="s">
        <v>90</v>
      </c>
      <c r="C49" s="180" t="s">
        <v>154</v>
      </c>
      <c r="D49" s="180"/>
      <c r="E49" s="180"/>
      <c r="F49" s="153" t="s">
        <v>114</v>
      </c>
      <c r="G49" s="153"/>
      <c r="H49" s="92"/>
      <c r="I49" s="10"/>
    </row>
    <row r="50" spans="2:9" ht="10.5" customHeight="1" x14ac:dyDescent="0.25">
      <c r="B50" s="58"/>
      <c r="C50" s="56"/>
      <c r="D50" s="56"/>
      <c r="E50" s="98"/>
      <c r="F50" s="57"/>
      <c r="G50" s="58"/>
      <c r="H50" s="59"/>
      <c r="I50" s="92"/>
    </row>
    <row r="51" spans="2:9" ht="14.25" customHeight="1" x14ac:dyDescent="0.25">
      <c r="B51" s="92" t="s">
        <v>91</v>
      </c>
      <c r="C51" s="180" t="s">
        <v>154</v>
      </c>
      <c r="D51" s="180"/>
      <c r="E51" s="180"/>
      <c r="F51" s="153" t="s">
        <v>114</v>
      </c>
      <c r="G51" s="153"/>
      <c r="H51" s="92"/>
      <c r="I51" s="4"/>
    </row>
    <row r="52" spans="2:9" x14ac:dyDescent="0.25">
      <c r="C52" s="102"/>
      <c r="D52" s="103"/>
      <c r="E52" s="101"/>
    </row>
    <row r="53" spans="2:9" x14ac:dyDescent="0.25">
      <c r="C53" s="3"/>
      <c r="D53" s="3"/>
      <c r="E53" s="3"/>
    </row>
  </sheetData>
  <mergeCells count="57">
    <mergeCell ref="C22:D22"/>
    <mergeCell ref="E22:F22"/>
    <mergeCell ref="G22:H22"/>
    <mergeCell ref="C20:D20"/>
    <mergeCell ref="E20:F20"/>
    <mergeCell ref="G20:H20"/>
    <mergeCell ref="C21:D21"/>
    <mergeCell ref="E21:F21"/>
    <mergeCell ref="G21:H21"/>
    <mergeCell ref="C18:D18"/>
    <mergeCell ref="E18:F18"/>
    <mergeCell ref="G18:H18"/>
    <mergeCell ref="C19:D19"/>
    <mergeCell ref="E19:F19"/>
    <mergeCell ref="G19:H19"/>
    <mergeCell ref="C40:D40"/>
    <mergeCell ref="F45:G45"/>
    <mergeCell ref="B1:H1"/>
    <mergeCell ref="F51:G51"/>
    <mergeCell ref="F48:G48"/>
    <mergeCell ref="F46:G46"/>
    <mergeCell ref="F47:G47"/>
    <mergeCell ref="E43:F43"/>
    <mergeCell ref="G43:H43"/>
    <mergeCell ref="E41:F41"/>
    <mergeCell ref="G41:H41"/>
    <mergeCell ref="E42:F42"/>
    <mergeCell ref="G42:H42"/>
    <mergeCell ref="B38:H38"/>
    <mergeCell ref="E39:F39"/>
    <mergeCell ref="B17:H17"/>
    <mergeCell ref="D25:D26"/>
    <mergeCell ref="E25:E26"/>
    <mergeCell ref="F25:G25"/>
    <mergeCell ref="H25:H26"/>
    <mergeCell ref="C39:D39"/>
    <mergeCell ref="B2:H2"/>
    <mergeCell ref="B3:H3"/>
    <mergeCell ref="B4:H4"/>
    <mergeCell ref="D9:E9"/>
    <mergeCell ref="B6:H7"/>
    <mergeCell ref="C49:E49"/>
    <mergeCell ref="F49:G49"/>
    <mergeCell ref="C51:E51"/>
    <mergeCell ref="M24:M25"/>
    <mergeCell ref="N24:N25"/>
    <mergeCell ref="C41:D41"/>
    <mergeCell ref="C42:D42"/>
    <mergeCell ref="C43:D43"/>
    <mergeCell ref="C45:E45"/>
    <mergeCell ref="C47:E47"/>
    <mergeCell ref="G39:H39"/>
    <mergeCell ref="E40:F40"/>
    <mergeCell ref="G40:H40"/>
    <mergeCell ref="B24:H24"/>
    <mergeCell ref="B25:B26"/>
    <mergeCell ref="C25:C26"/>
  </mergeCells>
  <printOptions horizontalCentered="1"/>
  <pageMargins left="0.15748031496062992" right="0.15748031496062992" top="0.15748031496062992" bottom="0.15748031496062992" header="0.16" footer="0.24"/>
  <pageSetup paperSize="9" scale="4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52"/>
  <sheetViews>
    <sheetView topLeftCell="A4" zoomScale="110" zoomScaleNormal="110" workbookViewId="0">
      <selection activeCell="M4" sqref="M1:N1048576"/>
    </sheetView>
  </sheetViews>
  <sheetFormatPr defaultColWidth="9.140625" defaultRowHeight="15.75" outlineLevelRow="1" x14ac:dyDescent="0.25"/>
  <cols>
    <col min="1" max="1" width="2.85546875" style="3" customWidth="1"/>
    <col min="2" max="2" width="58.140625" style="3" customWidth="1"/>
    <col min="3" max="3" width="14.7109375" style="4" customWidth="1"/>
    <col min="4" max="4" width="8.7109375" style="4" customWidth="1"/>
    <col min="5" max="5" width="10" style="4" customWidth="1"/>
    <col min="6" max="6" width="10.140625" style="3" customWidth="1"/>
    <col min="7" max="8" width="10.42578125" style="3" customWidth="1"/>
    <col min="9" max="9" width="12.28515625" style="3" customWidth="1"/>
    <col min="10" max="12" width="9.140625" style="3"/>
    <col min="13" max="13" width="13.85546875" style="194" customWidth="1"/>
    <col min="14" max="14" width="14.140625" style="194" customWidth="1"/>
    <col min="15" max="16384" width="9.140625" style="3"/>
  </cols>
  <sheetData>
    <row r="1" spans="1:9" x14ac:dyDescent="0.25">
      <c r="B1" s="184" t="s">
        <v>117</v>
      </c>
      <c r="C1" s="184"/>
      <c r="D1" s="184"/>
      <c r="E1" s="184"/>
      <c r="F1" s="184"/>
      <c r="G1" s="184"/>
      <c r="H1" s="184"/>
    </row>
    <row r="2" spans="1:9" x14ac:dyDescent="0.25">
      <c r="B2" s="184" t="s">
        <v>118</v>
      </c>
      <c r="C2" s="184"/>
      <c r="D2" s="184"/>
      <c r="E2" s="184"/>
      <c r="F2" s="184"/>
      <c r="G2" s="184"/>
      <c r="H2" s="184"/>
    </row>
    <row r="3" spans="1:9" x14ac:dyDescent="0.25">
      <c r="B3" s="184" t="s">
        <v>161</v>
      </c>
      <c r="C3" s="184"/>
      <c r="D3" s="184"/>
      <c r="E3" s="184"/>
      <c r="F3" s="184"/>
      <c r="G3" s="184"/>
      <c r="H3" s="184"/>
    </row>
    <row r="4" spans="1:9" x14ac:dyDescent="0.25">
      <c r="B4" s="184" t="s">
        <v>168</v>
      </c>
      <c r="C4" s="184"/>
      <c r="D4" s="184"/>
      <c r="E4" s="184"/>
      <c r="F4" s="184"/>
      <c r="G4" s="184"/>
      <c r="H4" s="184"/>
    </row>
    <row r="5" spans="1:9" ht="9" customHeight="1" x14ac:dyDescent="0.3">
      <c r="A5" s="14"/>
      <c r="B5" s="104"/>
      <c r="C5" s="104"/>
      <c r="D5" s="104"/>
      <c r="E5" s="104"/>
      <c r="F5" s="104"/>
      <c r="G5" s="104"/>
      <c r="H5" s="104"/>
    </row>
    <row r="6" spans="1:9" ht="20.25" customHeight="1" x14ac:dyDescent="0.3">
      <c r="A6" s="14"/>
      <c r="B6" s="185" t="s">
        <v>169</v>
      </c>
      <c r="C6" s="185"/>
      <c r="D6" s="185"/>
      <c r="E6" s="185"/>
      <c r="F6" s="185"/>
      <c r="G6" s="185"/>
      <c r="H6" s="185"/>
    </row>
    <row r="7" spans="1:9" ht="21.75" customHeight="1" x14ac:dyDescent="0.25">
      <c r="B7" s="185"/>
      <c r="C7" s="185"/>
      <c r="D7" s="185"/>
      <c r="E7" s="185"/>
      <c r="F7" s="185"/>
      <c r="G7" s="185"/>
      <c r="H7" s="185"/>
    </row>
    <row r="8" spans="1:9" ht="15.75" customHeight="1" x14ac:dyDescent="0.35">
      <c r="B8" s="6"/>
      <c r="C8" s="6"/>
      <c r="D8" s="6"/>
      <c r="E8" s="6"/>
      <c r="F8" s="6"/>
      <c r="G8" s="6"/>
      <c r="H8" s="6"/>
    </row>
    <row r="9" spans="1:9" x14ac:dyDescent="0.25">
      <c r="B9" s="105" t="s">
        <v>0</v>
      </c>
      <c r="C9" s="114"/>
      <c r="D9" s="178" t="s">
        <v>74</v>
      </c>
      <c r="E9" s="178"/>
    </row>
    <row r="10" spans="1:9" x14ac:dyDescent="0.25">
      <c r="B10" s="105" t="s">
        <v>1</v>
      </c>
      <c r="C10" s="114"/>
      <c r="D10" s="107">
        <v>1993</v>
      </c>
      <c r="E10" s="107"/>
    </row>
    <row r="11" spans="1:9" hidden="1" outlineLevel="1" x14ac:dyDescent="0.25">
      <c r="B11" s="105" t="s">
        <v>2</v>
      </c>
      <c r="C11" s="114"/>
      <c r="D11" s="107">
        <v>4</v>
      </c>
      <c r="E11" s="107"/>
    </row>
    <row r="12" spans="1:9" hidden="1" outlineLevel="1" x14ac:dyDescent="0.25">
      <c r="B12" s="105" t="s">
        <v>3</v>
      </c>
      <c r="C12" s="114"/>
      <c r="D12" s="107">
        <v>31</v>
      </c>
      <c r="E12" s="107"/>
    </row>
    <row r="13" spans="1:9" ht="30.75" hidden="1" customHeight="1" outlineLevel="1" x14ac:dyDescent="0.25">
      <c r="B13" s="108" t="s">
        <v>4</v>
      </c>
      <c r="C13" s="115"/>
      <c r="D13" s="107" t="s">
        <v>75</v>
      </c>
      <c r="E13" s="107"/>
    </row>
    <row r="14" spans="1:9" collapsed="1" x14ac:dyDescent="0.25">
      <c r="B14" s="105" t="s">
        <v>5</v>
      </c>
      <c r="C14" s="114"/>
      <c r="D14" s="107" t="s">
        <v>144</v>
      </c>
      <c r="E14" s="107"/>
      <c r="I14" s="12"/>
    </row>
    <row r="15" spans="1:9" hidden="1" outlineLevel="1" x14ac:dyDescent="0.25">
      <c r="B15" s="3" t="s">
        <v>6</v>
      </c>
      <c r="D15" s="16" t="s">
        <v>7</v>
      </c>
      <c r="E15" s="16"/>
    </row>
    <row r="16" spans="1:9" ht="30.75" hidden="1" customHeight="1" outlineLevel="1" x14ac:dyDescent="0.25">
      <c r="B16" s="17" t="s">
        <v>8</v>
      </c>
      <c r="C16" s="63"/>
      <c r="D16" s="100" t="s">
        <v>76</v>
      </c>
      <c r="E16" s="16"/>
      <c r="I16" s="12"/>
    </row>
    <row r="17" spans="2:14" ht="16.5" collapsed="1" thickBot="1" x14ac:dyDescent="0.3">
      <c r="B17" s="188" t="s">
        <v>157</v>
      </c>
      <c r="C17" s="188"/>
      <c r="D17" s="188"/>
      <c r="E17" s="188"/>
      <c r="F17" s="188"/>
      <c r="G17" s="188"/>
      <c r="H17" s="188"/>
      <c r="I17" s="12"/>
    </row>
    <row r="18" spans="2:14" ht="44.25" customHeight="1" thickBot="1" x14ac:dyDescent="0.3">
      <c r="B18" s="110" t="s">
        <v>158</v>
      </c>
      <c r="C18" s="186" t="s">
        <v>113</v>
      </c>
      <c r="D18" s="187"/>
      <c r="E18" s="181" t="s">
        <v>10</v>
      </c>
      <c r="F18" s="189"/>
      <c r="G18" s="181" t="s">
        <v>11</v>
      </c>
      <c r="H18" s="182"/>
      <c r="I18" s="12"/>
    </row>
    <row r="19" spans="2:14" x14ac:dyDescent="0.25">
      <c r="B19" s="111" t="s">
        <v>12</v>
      </c>
      <c r="C19" s="139">
        <v>1755473.9800000002</v>
      </c>
      <c r="D19" s="175"/>
      <c r="E19" s="143">
        <v>1257501.1600000001</v>
      </c>
      <c r="F19" s="144"/>
      <c r="G19" s="143">
        <v>497972.82</v>
      </c>
      <c r="H19" s="145"/>
      <c r="I19" s="12"/>
    </row>
    <row r="20" spans="2:14" x14ac:dyDescent="0.25">
      <c r="B20" s="52" t="s">
        <v>13</v>
      </c>
      <c r="C20" s="141">
        <v>1699814.97</v>
      </c>
      <c r="D20" s="173"/>
      <c r="E20" s="141">
        <v>1217687.78</v>
      </c>
      <c r="F20" s="142"/>
      <c r="G20" s="141">
        <v>482127.19</v>
      </c>
      <c r="H20" s="146"/>
      <c r="I20" s="12"/>
    </row>
    <row r="21" spans="2:14" ht="16.5" thickBot="1" x14ac:dyDescent="0.3">
      <c r="B21" s="54" t="s">
        <v>87</v>
      </c>
      <c r="C21" s="147">
        <v>1810802.86</v>
      </c>
      <c r="D21" s="174"/>
      <c r="E21" s="150">
        <v>1251471.8600000001</v>
      </c>
      <c r="F21" s="151"/>
      <c r="G21" s="150">
        <v>559331</v>
      </c>
      <c r="H21" s="152"/>
      <c r="I21" s="12"/>
    </row>
    <row r="22" spans="2:14" ht="25.5" thickBot="1" x14ac:dyDescent="0.3">
      <c r="B22" s="13" t="s">
        <v>149</v>
      </c>
      <c r="C22" s="156">
        <f>C20-C21</f>
        <v>-110987.89000000013</v>
      </c>
      <c r="D22" s="157"/>
      <c r="E22" s="154">
        <f>E20-E21</f>
        <v>-33784.080000000075</v>
      </c>
      <c r="F22" s="155"/>
      <c r="G22" s="154">
        <f>G20-G21</f>
        <v>-77203.81</v>
      </c>
      <c r="H22" s="158"/>
      <c r="I22" s="12"/>
    </row>
    <row r="23" spans="2:14" x14ac:dyDescent="0.25">
      <c r="B23" s="17"/>
      <c r="C23" s="63"/>
      <c r="D23" s="100"/>
      <c r="E23" s="99"/>
      <c r="I23" s="12"/>
    </row>
    <row r="24" spans="2:14" ht="36" customHeight="1" thickBot="1" x14ac:dyDescent="0.3">
      <c r="B24" s="183" t="s">
        <v>163</v>
      </c>
      <c r="C24" s="183"/>
      <c r="D24" s="183"/>
      <c r="E24" s="183"/>
      <c r="F24" s="183"/>
      <c r="G24" s="183"/>
      <c r="H24" s="183"/>
      <c r="L24" s="12"/>
      <c r="M24" s="195" t="s">
        <v>151</v>
      </c>
      <c r="N24" s="195" t="s">
        <v>152</v>
      </c>
    </row>
    <row r="25" spans="2:14" ht="34.5" customHeight="1" x14ac:dyDescent="0.25">
      <c r="B25" s="162" t="s">
        <v>101</v>
      </c>
      <c r="C25" s="164" t="s">
        <v>102</v>
      </c>
      <c r="D25" s="164" t="s">
        <v>103</v>
      </c>
      <c r="E25" s="166" t="s">
        <v>167</v>
      </c>
      <c r="F25" s="168" t="s">
        <v>104</v>
      </c>
      <c r="G25" s="169"/>
      <c r="H25" s="170" t="s">
        <v>123</v>
      </c>
      <c r="L25" s="12"/>
      <c r="M25" s="196"/>
      <c r="N25" s="196"/>
    </row>
    <row r="26" spans="2:14" ht="39.75" customHeight="1" thickBot="1" x14ac:dyDescent="0.3">
      <c r="B26" s="163"/>
      <c r="C26" s="165"/>
      <c r="D26" s="165"/>
      <c r="E26" s="167"/>
      <c r="F26" s="21" t="s">
        <v>92</v>
      </c>
      <c r="G26" s="22" t="s">
        <v>93</v>
      </c>
      <c r="H26" s="171"/>
      <c r="M26" s="197">
        <v>200688.52</v>
      </c>
      <c r="N26" s="197">
        <f>M26*1.01</f>
        <v>202695.40519999998</v>
      </c>
    </row>
    <row r="27" spans="2:14" ht="38.25" x14ac:dyDescent="0.25">
      <c r="B27" s="23" t="s">
        <v>105</v>
      </c>
      <c r="C27" s="35" t="s">
        <v>106</v>
      </c>
      <c r="D27" s="24" t="s">
        <v>107</v>
      </c>
      <c r="E27" s="25">
        <v>1.06</v>
      </c>
      <c r="F27" s="26">
        <f>$M$26/$M$27*E27</f>
        <v>20653.381669902919</v>
      </c>
      <c r="G27" s="27">
        <f>$N$26/$N$27*E27</f>
        <v>20859.915486601949</v>
      </c>
      <c r="H27" s="28">
        <f>F27-G27</f>
        <v>-206.53381669902956</v>
      </c>
      <c r="I27" s="78"/>
      <c r="J27" s="30"/>
      <c r="K27" s="30"/>
      <c r="L27" s="31"/>
      <c r="M27" s="198">
        <f>E36-E34</f>
        <v>10.299999999999997</v>
      </c>
      <c r="N27" s="198">
        <f>E36-E34</f>
        <v>10.299999999999997</v>
      </c>
    </row>
    <row r="28" spans="2:14" ht="51.75" x14ac:dyDescent="0.25">
      <c r="B28" s="79" t="s">
        <v>99</v>
      </c>
      <c r="C28" s="35" t="s">
        <v>106</v>
      </c>
      <c r="D28" s="24" t="s">
        <v>107</v>
      </c>
      <c r="E28" s="8">
        <v>1.19</v>
      </c>
      <c r="F28" s="26">
        <f t="shared" ref="F28:F35" si="0">$M$26/$M$27*E28</f>
        <v>23186.343572815538</v>
      </c>
      <c r="G28" s="27">
        <f t="shared" ref="G28:G32" si="1">$N$26/$N$27*E28</f>
        <v>23418.207008543694</v>
      </c>
      <c r="H28" s="28">
        <f t="shared" ref="H28:H33" si="2">F28-G28</f>
        <v>-231.86343572815531</v>
      </c>
      <c r="I28" s="80"/>
      <c r="J28" s="2"/>
      <c r="K28" s="2"/>
      <c r="L28" s="2"/>
      <c r="M28" s="199"/>
      <c r="N28" s="199"/>
    </row>
    <row r="29" spans="2:14" ht="24" x14ac:dyDescent="0.25">
      <c r="B29" s="33" t="s">
        <v>94</v>
      </c>
      <c r="C29" s="35" t="s">
        <v>106</v>
      </c>
      <c r="D29" s="24" t="s">
        <v>107</v>
      </c>
      <c r="E29" s="8">
        <v>0.32</v>
      </c>
      <c r="F29" s="26">
        <f t="shared" si="0"/>
        <v>6234.9831456310703</v>
      </c>
      <c r="G29" s="27">
        <f t="shared" si="1"/>
        <v>6297.3329770873806</v>
      </c>
      <c r="H29" s="28">
        <f t="shared" si="2"/>
        <v>-62.349831456310312</v>
      </c>
      <c r="I29" s="55"/>
      <c r="L29" s="12"/>
    </row>
    <row r="30" spans="2:14" ht="26.25" x14ac:dyDescent="0.25">
      <c r="B30" s="81" t="s">
        <v>108</v>
      </c>
      <c r="C30" s="34" t="s">
        <v>109</v>
      </c>
      <c r="D30" s="24" t="s">
        <v>107</v>
      </c>
      <c r="E30" s="8">
        <v>0</v>
      </c>
      <c r="F30" s="26">
        <f t="shared" si="0"/>
        <v>0</v>
      </c>
      <c r="G30" s="27">
        <f t="shared" si="1"/>
        <v>0</v>
      </c>
      <c r="H30" s="28">
        <f t="shared" si="2"/>
        <v>0</v>
      </c>
      <c r="I30" s="55"/>
      <c r="L30" s="12"/>
    </row>
    <row r="31" spans="2:14" ht="51.75" x14ac:dyDescent="0.25">
      <c r="B31" s="79" t="s">
        <v>95</v>
      </c>
      <c r="C31" s="7" t="s">
        <v>122</v>
      </c>
      <c r="D31" s="24" t="s">
        <v>107</v>
      </c>
      <c r="E31" s="8">
        <v>1.18</v>
      </c>
      <c r="F31" s="26">
        <f t="shared" si="0"/>
        <v>22991.500349514568</v>
      </c>
      <c r="G31" s="27">
        <f t="shared" si="1"/>
        <v>23221.415353009714</v>
      </c>
      <c r="H31" s="28">
        <f t="shared" si="2"/>
        <v>-229.91500349514536</v>
      </c>
      <c r="I31" s="55"/>
    </row>
    <row r="32" spans="2:14" ht="213.75" customHeight="1" x14ac:dyDescent="0.25">
      <c r="B32" s="32" t="s">
        <v>119</v>
      </c>
      <c r="C32" s="35" t="s">
        <v>110</v>
      </c>
      <c r="D32" s="24" t="s">
        <v>107</v>
      </c>
      <c r="E32" s="8">
        <v>5.61</v>
      </c>
      <c r="F32" s="26">
        <f t="shared" si="0"/>
        <v>109307.0482718447</v>
      </c>
      <c r="G32" s="27">
        <f t="shared" si="1"/>
        <v>110400.11875456314</v>
      </c>
      <c r="H32" s="28">
        <f t="shared" si="2"/>
        <v>-1093.0704827184381</v>
      </c>
      <c r="I32" s="80"/>
      <c r="J32" s="2"/>
      <c r="K32" s="2"/>
      <c r="L32" s="1"/>
      <c r="M32" s="199"/>
      <c r="N32" s="199"/>
    </row>
    <row r="33" spans="2:14" ht="107.25" customHeight="1" x14ac:dyDescent="0.25">
      <c r="B33" s="79" t="s">
        <v>111</v>
      </c>
      <c r="C33" s="35" t="s">
        <v>106</v>
      </c>
      <c r="D33" s="24" t="s">
        <v>107</v>
      </c>
      <c r="E33" s="8">
        <v>0.24</v>
      </c>
      <c r="F33" s="26">
        <f t="shared" si="0"/>
        <v>4676.2373592233025</v>
      </c>
      <c r="G33" s="27">
        <f t="shared" ref="G33" si="3">$N$26/$N$27*E33</f>
        <v>4722.999732815535</v>
      </c>
      <c r="H33" s="28">
        <f t="shared" si="2"/>
        <v>-46.762373592232507</v>
      </c>
      <c r="I33" s="55"/>
    </row>
    <row r="34" spans="2:14" ht="24" x14ac:dyDescent="0.25">
      <c r="B34" s="33" t="s">
        <v>112</v>
      </c>
      <c r="C34" s="35" t="s">
        <v>106</v>
      </c>
      <c r="D34" s="24" t="s">
        <v>107</v>
      </c>
      <c r="E34" s="8">
        <v>4.6399999999999997</v>
      </c>
      <c r="F34" s="26">
        <v>90407.25</v>
      </c>
      <c r="G34" s="5">
        <v>22591</v>
      </c>
      <c r="H34" s="28">
        <f>F34-G34</f>
        <v>67816.25</v>
      </c>
      <c r="I34" s="55"/>
      <c r="L34" s="12"/>
    </row>
    <row r="35" spans="2:14" ht="16.5" thickBot="1" x14ac:dyDescent="0.3">
      <c r="B35" s="82" t="s">
        <v>97</v>
      </c>
      <c r="C35" s="37" t="s">
        <v>110</v>
      </c>
      <c r="D35" s="38" t="s">
        <v>107</v>
      </c>
      <c r="E35" s="39">
        <v>0.7</v>
      </c>
      <c r="F35" s="26">
        <f t="shared" si="0"/>
        <v>13639.025631067965</v>
      </c>
      <c r="G35" s="27">
        <f t="shared" ref="G35" si="4">$N$26/$N$27*E35</f>
        <v>13775.415887378644</v>
      </c>
      <c r="H35" s="40">
        <f>F35-G35</f>
        <v>-136.39025631067852</v>
      </c>
      <c r="I35" s="55"/>
    </row>
    <row r="36" spans="2:14" ht="16.5" thickBot="1" x14ac:dyDescent="0.3">
      <c r="B36" s="84" t="s">
        <v>98</v>
      </c>
      <c r="C36" s="42"/>
      <c r="D36" s="42"/>
      <c r="E36" s="43">
        <f>SUM(E27:E35)</f>
        <v>14.939999999999998</v>
      </c>
      <c r="F36" s="44">
        <f>SUM(F27:F35)</f>
        <v>291095.77000000008</v>
      </c>
      <c r="G36" s="45">
        <f>SUM(G27:G35)</f>
        <v>225286.40520000007</v>
      </c>
      <c r="H36" s="46">
        <f>SUM(H27:H35)</f>
        <v>65809.36480000001</v>
      </c>
      <c r="I36" s="124"/>
    </row>
    <row r="37" spans="2:14" x14ac:dyDescent="0.25">
      <c r="B37" s="12"/>
      <c r="C37" s="12"/>
      <c r="D37" s="12"/>
      <c r="E37" s="15"/>
      <c r="F37" s="15"/>
      <c r="G37" s="15"/>
      <c r="H37" s="4"/>
    </row>
    <row r="38" spans="2:14" ht="16.5" customHeight="1" thickBot="1" x14ac:dyDescent="0.3">
      <c r="B38" s="188" t="s">
        <v>165</v>
      </c>
      <c r="C38" s="188"/>
      <c r="D38" s="188"/>
      <c r="E38" s="188"/>
      <c r="F38" s="188"/>
      <c r="G38" s="188"/>
      <c r="H38" s="188"/>
      <c r="I38" s="88"/>
      <c r="J38" s="88"/>
    </row>
    <row r="39" spans="2:14" ht="44.25" customHeight="1" thickBot="1" x14ac:dyDescent="0.3">
      <c r="B39" s="110" t="s">
        <v>166</v>
      </c>
      <c r="C39" s="186" t="s">
        <v>113</v>
      </c>
      <c r="D39" s="187"/>
      <c r="E39" s="181" t="s">
        <v>10</v>
      </c>
      <c r="F39" s="189"/>
      <c r="G39" s="181" t="s">
        <v>11</v>
      </c>
      <c r="H39" s="182"/>
      <c r="I39" s="89"/>
      <c r="J39" s="93"/>
      <c r="K39" s="50"/>
      <c r="L39" s="51"/>
      <c r="M39" s="200"/>
      <c r="N39" s="200"/>
    </row>
    <row r="40" spans="2:14" x14ac:dyDescent="0.25">
      <c r="B40" s="111" t="s">
        <v>12</v>
      </c>
      <c r="C40" s="143">
        <f>E40+G40</f>
        <v>2046569.7500000002</v>
      </c>
      <c r="D40" s="144"/>
      <c r="E40" s="143">
        <f>F27+F28+F29+F30+F31+F32+F33+F35+E19</f>
        <v>1458189.6800000002</v>
      </c>
      <c r="F40" s="144"/>
      <c r="G40" s="143">
        <f>F34+G19</f>
        <v>588380.07000000007</v>
      </c>
      <c r="H40" s="145"/>
      <c r="I40" s="91"/>
      <c r="J40" s="94"/>
      <c r="K40" s="9"/>
      <c r="L40" s="9"/>
      <c r="M40" s="201"/>
    </row>
    <row r="41" spans="2:14" x14ac:dyDescent="0.25">
      <c r="B41" s="52" t="s">
        <v>13</v>
      </c>
      <c r="C41" s="141">
        <f>E41+G41</f>
        <v>2033753.36</v>
      </c>
      <c r="D41" s="142"/>
      <c r="E41" s="141">
        <f>E20+230225.26</f>
        <v>1447913.04</v>
      </c>
      <c r="F41" s="142"/>
      <c r="G41" s="141">
        <f>G20+103713.13</f>
        <v>585840.32000000007</v>
      </c>
      <c r="H41" s="146"/>
      <c r="I41" s="91"/>
      <c r="J41" s="94"/>
      <c r="K41" s="11"/>
      <c r="L41" s="9"/>
      <c r="M41" s="201"/>
    </row>
    <row r="42" spans="2:14" ht="16.5" thickBot="1" x14ac:dyDescent="0.3">
      <c r="B42" s="54" t="s">
        <v>87</v>
      </c>
      <c r="C42" s="150">
        <f>E42+G42</f>
        <v>2036089.2652000003</v>
      </c>
      <c r="D42" s="151"/>
      <c r="E42" s="150">
        <f>G27+G28+G29+G30+G31+G32+G33+G35+E21</f>
        <v>1454167.2652000003</v>
      </c>
      <c r="F42" s="151"/>
      <c r="G42" s="150">
        <f>G34+G21</f>
        <v>581922</v>
      </c>
      <c r="H42" s="152"/>
      <c r="I42" s="91"/>
      <c r="J42" s="94"/>
      <c r="K42" s="55"/>
      <c r="L42" s="55"/>
    </row>
    <row r="43" spans="2:14" ht="32.25" customHeight="1" thickBot="1" x14ac:dyDescent="0.3">
      <c r="B43" s="13" t="s">
        <v>150</v>
      </c>
      <c r="C43" s="156">
        <f>E43+G43</f>
        <v>-2335.9052000001539</v>
      </c>
      <c r="D43" s="157"/>
      <c r="E43" s="154">
        <f>E41-E42</f>
        <v>-6254.225200000219</v>
      </c>
      <c r="F43" s="155"/>
      <c r="G43" s="154">
        <f>G41-G42</f>
        <v>3918.3200000000652</v>
      </c>
      <c r="H43" s="158"/>
      <c r="I43" s="91"/>
      <c r="J43" s="94"/>
      <c r="K43" s="55"/>
      <c r="L43" s="55"/>
    </row>
    <row r="44" spans="2:14" ht="18" customHeight="1" x14ac:dyDescent="0.25">
      <c r="B44" s="85"/>
      <c r="C44" s="112"/>
      <c r="D44" s="112"/>
      <c r="E44" s="113"/>
      <c r="F44" s="113"/>
      <c r="G44" s="113"/>
      <c r="H44" s="113"/>
      <c r="I44" s="92"/>
      <c r="J44" s="2"/>
      <c r="K44" s="2"/>
      <c r="L44" s="2"/>
      <c r="M44" s="199"/>
      <c r="N44" s="199"/>
    </row>
    <row r="45" spans="2:14" ht="13.5" customHeight="1" x14ac:dyDescent="0.25">
      <c r="B45" s="92" t="s">
        <v>88</v>
      </c>
      <c r="C45" s="180" t="s">
        <v>153</v>
      </c>
      <c r="D45" s="180"/>
      <c r="E45" s="180"/>
      <c r="F45" s="153" t="s">
        <v>14</v>
      </c>
      <c r="G45" s="153"/>
      <c r="H45" s="92"/>
      <c r="I45" s="92"/>
      <c r="J45" s="2"/>
      <c r="K45" s="2"/>
      <c r="L45" s="2"/>
      <c r="M45" s="199"/>
      <c r="N45" s="199"/>
    </row>
    <row r="46" spans="2:14" ht="9.75" customHeight="1" x14ac:dyDescent="0.25">
      <c r="B46" s="92"/>
      <c r="C46" s="86"/>
      <c r="D46" s="86"/>
      <c r="E46" s="98"/>
      <c r="F46" s="160"/>
      <c r="G46" s="160"/>
      <c r="H46" s="92"/>
      <c r="I46" s="92"/>
      <c r="J46" s="2"/>
      <c r="K46" s="2"/>
      <c r="L46" s="2"/>
      <c r="M46" s="199"/>
      <c r="N46" s="199"/>
    </row>
    <row r="47" spans="2:14" ht="16.5" customHeight="1" x14ac:dyDescent="0.25">
      <c r="B47" s="92" t="s">
        <v>89</v>
      </c>
      <c r="C47" s="180" t="s">
        <v>153</v>
      </c>
      <c r="D47" s="180"/>
      <c r="E47" s="180"/>
      <c r="F47" s="153" t="s">
        <v>100</v>
      </c>
      <c r="G47" s="153"/>
      <c r="H47" s="92"/>
      <c r="I47" s="92"/>
    </row>
    <row r="48" spans="2:14" ht="9.75" customHeight="1" x14ac:dyDescent="0.25">
      <c r="B48" s="92"/>
      <c r="C48" s="86"/>
      <c r="D48" s="86"/>
      <c r="E48" s="98"/>
      <c r="F48" s="153"/>
      <c r="G48" s="153"/>
      <c r="H48" s="92"/>
      <c r="I48" s="92"/>
    </row>
    <row r="49" spans="2:9" ht="14.25" customHeight="1" x14ac:dyDescent="0.25">
      <c r="B49" s="92" t="s">
        <v>90</v>
      </c>
      <c r="C49" s="180" t="s">
        <v>154</v>
      </c>
      <c r="D49" s="180"/>
      <c r="E49" s="180"/>
      <c r="F49" s="153" t="s">
        <v>114</v>
      </c>
      <c r="G49" s="153"/>
      <c r="H49" s="92"/>
      <c r="I49" s="10"/>
    </row>
    <row r="50" spans="2:9" ht="11.25" customHeight="1" x14ac:dyDescent="0.25">
      <c r="B50" s="58"/>
      <c r="C50" s="56"/>
      <c r="D50" s="56"/>
      <c r="E50" s="98"/>
      <c r="F50" s="57"/>
      <c r="G50" s="58"/>
      <c r="H50" s="59"/>
      <c r="I50" s="92"/>
    </row>
    <row r="51" spans="2:9" ht="13.5" customHeight="1" x14ac:dyDescent="0.25">
      <c r="B51" s="92" t="s">
        <v>91</v>
      </c>
      <c r="C51" s="180" t="s">
        <v>154</v>
      </c>
      <c r="D51" s="180"/>
      <c r="E51" s="180"/>
      <c r="F51" s="153" t="s">
        <v>114</v>
      </c>
      <c r="G51" s="153"/>
      <c r="H51" s="92"/>
      <c r="I51" s="4"/>
    </row>
    <row r="52" spans="2:9" x14ac:dyDescent="0.25">
      <c r="D52" s="190"/>
      <c r="E52" s="191"/>
    </row>
  </sheetData>
  <mergeCells count="58">
    <mergeCell ref="D52:E52"/>
    <mergeCell ref="G39:H39"/>
    <mergeCell ref="E40:F40"/>
    <mergeCell ref="F51:G51"/>
    <mergeCell ref="G43:H43"/>
    <mergeCell ref="F47:G47"/>
    <mergeCell ref="F46:G46"/>
    <mergeCell ref="C39:D39"/>
    <mergeCell ref="C40:D40"/>
    <mergeCell ref="C51:E51"/>
    <mergeCell ref="B1:H1"/>
    <mergeCell ref="F48:G48"/>
    <mergeCell ref="B24:H24"/>
    <mergeCell ref="B25:B26"/>
    <mergeCell ref="C25:C26"/>
    <mergeCell ref="D25:D26"/>
    <mergeCell ref="E25:E26"/>
    <mergeCell ref="B38:H38"/>
    <mergeCell ref="E43:F43"/>
    <mergeCell ref="F25:G25"/>
    <mergeCell ref="G42:H42"/>
    <mergeCell ref="E39:F39"/>
    <mergeCell ref="C22:D22"/>
    <mergeCell ref="G40:H40"/>
    <mergeCell ref="B2:H2"/>
    <mergeCell ref="B3:H3"/>
    <mergeCell ref="B4:H4"/>
    <mergeCell ref="H25:H26"/>
    <mergeCell ref="D9:E9"/>
    <mergeCell ref="B6:H7"/>
    <mergeCell ref="E22:F22"/>
    <mergeCell ref="G22:H22"/>
    <mergeCell ref="C20:D20"/>
    <mergeCell ref="E20:F20"/>
    <mergeCell ref="G20:H20"/>
    <mergeCell ref="C21:D21"/>
    <mergeCell ref="E21:F21"/>
    <mergeCell ref="G21:H21"/>
    <mergeCell ref="B17:H17"/>
    <mergeCell ref="C18:D18"/>
    <mergeCell ref="E18:F18"/>
    <mergeCell ref="G18:H18"/>
    <mergeCell ref="C19:D19"/>
    <mergeCell ref="E19:F19"/>
    <mergeCell ref="G19:H19"/>
    <mergeCell ref="C49:E49"/>
    <mergeCell ref="F49:G49"/>
    <mergeCell ref="C41:D41"/>
    <mergeCell ref="C42:D42"/>
    <mergeCell ref="C43:D43"/>
    <mergeCell ref="C47:E47"/>
    <mergeCell ref="M24:M25"/>
    <mergeCell ref="N24:N25"/>
    <mergeCell ref="F45:G45"/>
    <mergeCell ref="E41:F41"/>
    <mergeCell ref="G41:H41"/>
    <mergeCell ref="E42:F42"/>
    <mergeCell ref="C45:E45"/>
  </mergeCells>
  <printOptions horizontalCentered="1"/>
  <pageMargins left="0.15748031496062992" right="0.15748031496062992" top="0.15748031496062992" bottom="0.15748031496062992" header="0.31496062992125984" footer="0.31496062992125984"/>
  <pageSetup paperSize="9" scale="5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48"/>
  <sheetViews>
    <sheetView zoomScale="110" zoomScaleNormal="110" workbookViewId="0">
      <selection activeCell="B15" sqref="B15:B18"/>
    </sheetView>
  </sheetViews>
  <sheetFormatPr defaultColWidth="9.140625" defaultRowHeight="15.75" outlineLevelRow="1" x14ac:dyDescent="0.25"/>
  <cols>
    <col min="1" max="1" width="2.85546875" style="3" customWidth="1"/>
    <col min="2" max="2" width="57" style="3" customWidth="1"/>
    <col min="3" max="3" width="23.140625" style="135" customWidth="1"/>
    <col min="4" max="4" width="9.140625" style="136" customWidth="1"/>
    <col min="5" max="5" width="11.140625" style="136" customWidth="1"/>
    <col min="6" max="7" width="10.28515625" style="3" customWidth="1"/>
    <col min="8" max="8" width="11" style="3" customWidth="1"/>
    <col min="9" max="9" width="12.28515625" style="3" customWidth="1"/>
    <col min="10" max="12" width="9.140625" style="3"/>
    <col min="13" max="13" width="14.7109375" style="194" customWidth="1"/>
    <col min="14" max="14" width="14.5703125" style="194" customWidth="1"/>
    <col min="15" max="16384" width="9.140625" style="3"/>
  </cols>
  <sheetData>
    <row r="1" spans="2:9" x14ac:dyDescent="0.25">
      <c r="B1" s="161" t="s">
        <v>116</v>
      </c>
      <c r="C1" s="161"/>
      <c r="D1" s="161"/>
      <c r="E1" s="161"/>
      <c r="F1" s="161"/>
      <c r="G1" s="161"/>
      <c r="H1" s="161"/>
    </row>
    <row r="2" spans="2:9" ht="19.5" customHeight="1" x14ac:dyDescent="0.25">
      <c r="B2" s="185" t="s">
        <v>162</v>
      </c>
      <c r="C2" s="185"/>
      <c r="D2" s="185"/>
      <c r="E2" s="185"/>
      <c r="F2" s="185"/>
      <c r="G2" s="185"/>
      <c r="H2" s="185"/>
    </row>
    <row r="3" spans="2:9" ht="20.25" customHeight="1" x14ac:dyDescent="0.25">
      <c r="B3" s="185"/>
      <c r="C3" s="185"/>
      <c r="D3" s="185"/>
      <c r="E3" s="185"/>
      <c r="F3" s="185"/>
      <c r="G3" s="185"/>
      <c r="H3" s="185"/>
    </row>
    <row r="4" spans="2:9" ht="15" customHeight="1" x14ac:dyDescent="0.25"/>
    <row r="5" spans="2:9" x14ac:dyDescent="0.25">
      <c r="B5" s="3" t="s">
        <v>0</v>
      </c>
      <c r="D5" s="172" t="s">
        <v>77</v>
      </c>
      <c r="E5" s="172"/>
    </row>
    <row r="6" spans="2:9" x14ac:dyDescent="0.25">
      <c r="B6" s="3" t="s">
        <v>1</v>
      </c>
      <c r="D6" s="126">
        <v>1962</v>
      </c>
      <c r="E6" s="126"/>
    </row>
    <row r="7" spans="2:9" hidden="1" outlineLevel="1" x14ac:dyDescent="0.25">
      <c r="B7" s="3" t="s">
        <v>2</v>
      </c>
      <c r="D7" s="126">
        <v>2</v>
      </c>
      <c r="E7" s="126"/>
    </row>
    <row r="8" spans="2:9" hidden="1" outlineLevel="1" x14ac:dyDescent="0.25">
      <c r="B8" s="3" t="s">
        <v>3</v>
      </c>
      <c r="D8" s="126">
        <v>16</v>
      </c>
      <c r="E8" s="126"/>
    </row>
    <row r="9" spans="2:9" ht="30.75" hidden="1" customHeight="1" outlineLevel="1" x14ac:dyDescent="0.25">
      <c r="B9" s="17" t="s">
        <v>4</v>
      </c>
      <c r="C9" s="18"/>
      <c r="D9" s="126" t="s">
        <v>78</v>
      </c>
      <c r="E9" s="126"/>
    </row>
    <row r="10" spans="2:9" collapsed="1" x14ac:dyDescent="0.25">
      <c r="B10" s="3" t="s">
        <v>5</v>
      </c>
      <c r="D10" s="126" t="s">
        <v>145</v>
      </c>
      <c r="E10" s="126"/>
      <c r="I10" s="12"/>
    </row>
    <row r="11" spans="2:9" hidden="1" outlineLevel="1" x14ac:dyDescent="0.25">
      <c r="B11" s="3" t="s">
        <v>6</v>
      </c>
      <c r="D11" s="126" t="s">
        <v>7</v>
      </c>
      <c r="E11" s="126"/>
    </row>
    <row r="12" spans="2:9" ht="30.75" hidden="1" customHeight="1" outlineLevel="1" x14ac:dyDescent="0.25">
      <c r="B12" s="17" t="s">
        <v>8</v>
      </c>
      <c r="C12" s="18"/>
      <c r="D12" s="138" t="s">
        <v>79</v>
      </c>
      <c r="E12" s="126"/>
      <c r="I12" s="12"/>
    </row>
    <row r="13" spans="2:9" ht="11.25" customHeight="1" collapsed="1" x14ac:dyDescent="0.25">
      <c r="B13" s="17"/>
      <c r="C13" s="18"/>
      <c r="D13" s="138"/>
      <c r="E13" s="126"/>
      <c r="I13" s="12"/>
    </row>
    <row r="14" spans="2:9" ht="15.75" customHeight="1" thickBot="1" x14ac:dyDescent="0.3">
      <c r="B14" s="188" t="s">
        <v>157</v>
      </c>
      <c r="C14" s="188"/>
      <c r="D14" s="188"/>
      <c r="E14" s="188"/>
      <c r="F14" s="188"/>
      <c r="G14" s="188"/>
      <c r="H14" s="188"/>
      <c r="I14" s="12"/>
    </row>
    <row r="15" spans="2:9" ht="40.5" customHeight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  <c r="I15" s="12"/>
    </row>
    <row r="16" spans="2:9" x14ac:dyDescent="0.25">
      <c r="B16" s="111" t="s">
        <v>12</v>
      </c>
      <c r="C16" s="139">
        <v>607261.31000000006</v>
      </c>
      <c r="D16" s="175"/>
      <c r="E16" s="143">
        <v>458276.52</v>
      </c>
      <c r="F16" s="144"/>
      <c r="G16" s="143">
        <v>148984.78999999998</v>
      </c>
      <c r="H16" s="145"/>
      <c r="I16" s="12"/>
    </row>
    <row r="17" spans="2:14" x14ac:dyDescent="0.25">
      <c r="B17" s="52" t="s">
        <v>13</v>
      </c>
      <c r="C17" s="141">
        <v>563809.89000000013</v>
      </c>
      <c r="D17" s="173"/>
      <c r="E17" s="141">
        <v>424752.83000000007</v>
      </c>
      <c r="F17" s="142"/>
      <c r="G17" s="141">
        <v>139057.06</v>
      </c>
      <c r="H17" s="146"/>
      <c r="I17" s="12"/>
    </row>
    <row r="18" spans="2:14" ht="16.5" thickBot="1" x14ac:dyDescent="0.3">
      <c r="B18" s="54" t="s">
        <v>87</v>
      </c>
      <c r="C18" s="147">
        <v>669464.29</v>
      </c>
      <c r="D18" s="174"/>
      <c r="E18" s="150">
        <v>456770.2900000001</v>
      </c>
      <c r="F18" s="151"/>
      <c r="G18" s="150">
        <v>212694</v>
      </c>
      <c r="H18" s="152"/>
      <c r="I18" s="12"/>
    </row>
    <row r="19" spans="2:14" ht="36.75" thickBot="1" x14ac:dyDescent="0.3">
      <c r="B19" s="13" t="s">
        <v>149</v>
      </c>
      <c r="C19" s="156">
        <f>E19+G19</f>
        <v>-105654.40000000002</v>
      </c>
      <c r="D19" s="157"/>
      <c r="E19" s="154">
        <f>E17-E18</f>
        <v>-32017.460000000021</v>
      </c>
      <c r="F19" s="155"/>
      <c r="G19" s="154">
        <f>G17-G18</f>
        <v>-73636.94</v>
      </c>
      <c r="H19" s="158"/>
      <c r="I19" s="12"/>
    </row>
    <row r="20" spans="2:14" x14ac:dyDescent="0.25">
      <c r="B20" s="17"/>
      <c r="C20" s="18"/>
      <c r="D20" s="138"/>
      <c r="E20" s="126"/>
      <c r="I20" s="12"/>
    </row>
    <row r="21" spans="2:14" ht="18.75" customHeight="1" thickBot="1" x14ac:dyDescent="0.3">
      <c r="B21" s="193" t="s">
        <v>163</v>
      </c>
      <c r="C21" s="193"/>
      <c r="D21" s="193"/>
      <c r="E21" s="193"/>
      <c r="F21" s="193"/>
      <c r="G21" s="193"/>
      <c r="H21" s="193"/>
      <c r="L21" s="12"/>
      <c r="M21" s="195" t="s">
        <v>151</v>
      </c>
      <c r="N21" s="195" t="s">
        <v>152</v>
      </c>
    </row>
    <row r="22" spans="2:14" ht="34.5" customHeight="1" x14ac:dyDescent="0.25">
      <c r="B22" s="162" t="s">
        <v>101</v>
      </c>
      <c r="C22" s="164" t="s">
        <v>102</v>
      </c>
      <c r="D22" s="164" t="s">
        <v>103</v>
      </c>
      <c r="E22" s="166" t="s">
        <v>164</v>
      </c>
      <c r="F22" s="168" t="s">
        <v>104</v>
      </c>
      <c r="G22" s="169"/>
      <c r="H22" s="170" t="s">
        <v>123</v>
      </c>
      <c r="L22" s="12"/>
      <c r="M22" s="196"/>
      <c r="N22" s="196"/>
    </row>
    <row r="23" spans="2:14" ht="39.75" customHeight="1" thickBot="1" x14ac:dyDescent="0.3">
      <c r="B23" s="163"/>
      <c r="C23" s="165"/>
      <c r="D23" s="165"/>
      <c r="E23" s="167"/>
      <c r="F23" s="21" t="s">
        <v>92</v>
      </c>
      <c r="G23" s="22" t="s">
        <v>93</v>
      </c>
      <c r="H23" s="171"/>
      <c r="M23" s="197">
        <v>78116.487999999998</v>
      </c>
      <c r="N23" s="197">
        <f>M23*1.01</f>
        <v>78897.652879999994</v>
      </c>
    </row>
    <row r="24" spans="2:14" ht="53.25" customHeight="1" x14ac:dyDescent="0.25">
      <c r="B24" s="23" t="s">
        <v>105</v>
      </c>
      <c r="C24" s="7" t="s">
        <v>121</v>
      </c>
      <c r="D24" s="24" t="s">
        <v>107</v>
      </c>
      <c r="E24" s="25">
        <v>1.06</v>
      </c>
      <c r="F24" s="26">
        <f>$M$23/$M$24*E24</f>
        <v>7507.1148939256582</v>
      </c>
      <c r="G24" s="27">
        <f>$N$23/$N$24*E24</f>
        <v>7582.1860428649143</v>
      </c>
      <c r="H24" s="28">
        <f>F24-G24</f>
        <v>-75.071148939256091</v>
      </c>
      <c r="I24" s="78"/>
      <c r="J24" s="134"/>
      <c r="K24" s="134"/>
      <c r="L24" s="31"/>
      <c r="M24" s="198">
        <f>E33-E31</f>
        <v>11.03</v>
      </c>
      <c r="N24" s="198">
        <f>E33-E31</f>
        <v>11.03</v>
      </c>
    </row>
    <row r="25" spans="2:14" ht="51.75" x14ac:dyDescent="0.25">
      <c r="B25" s="79" t="s">
        <v>99</v>
      </c>
      <c r="C25" s="7" t="s">
        <v>121</v>
      </c>
      <c r="D25" s="24" t="s">
        <v>107</v>
      </c>
      <c r="E25" s="8">
        <v>1.19</v>
      </c>
      <c r="F25" s="26">
        <f t="shared" ref="F25:F32" si="0">$M$23/$M$24*E25</f>
        <v>8427.7987960108803</v>
      </c>
      <c r="G25" s="27">
        <f t="shared" ref="G25:G29" si="1">$N$23/$N$24*E25</f>
        <v>8512.0767839709879</v>
      </c>
      <c r="H25" s="28">
        <f t="shared" ref="H25:H30" si="2">F25-G25</f>
        <v>-84.277987960107566</v>
      </c>
      <c r="I25" s="80"/>
      <c r="J25" s="2"/>
      <c r="K25" s="2"/>
      <c r="L25" s="2"/>
      <c r="M25" s="199"/>
      <c r="N25" s="199"/>
    </row>
    <row r="26" spans="2:14" ht="51.75" customHeight="1" x14ac:dyDescent="0.25">
      <c r="B26" s="33" t="s">
        <v>94</v>
      </c>
      <c r="C26" s="7" t="s">
        <v>121</v>
      </c>
      <c r="D26" s="24" t="s">
        <v>107</v>
      </c>
      <c r="E26" s="8">
        <v>0.32</v>
      </c>
      <c r="F26" s="26">
        <f t="shared" si="0"/>
        <v>2266.2988359020856</v>
      </c>
      <c r="G26" s="27">
        <f t="shared" si="1"/>
        <v>2288.9618242611064</v>
      </c>
      <c r="H26" s="28">
        <f t="shared" si="2"/>
        <v>-22.662988359020801</v>
      </c>
      <c r="I26" s="55"/>
      <c r="L26" s="12"/>
    </row>
    <row r="27" spans="2:14" ht="26.25" x14ac:dyDescent="0.25">
      <c r="B27" s="81" t="s">
        <v>108</v>
      </c>
      <c r="C27" s="34" t="s">
        <v>109</v>
      </c>
      <c r="D27" s="24" t="s">
        <v>107</v>
      </c>
      <c r="E27" s="8">
        <v>0.5</v>
      </c>
      <c r="F27" s="26">
        <f>($M$23/12*2)/$M$24*E27</f>
        <v>590.18198851616796</v>
      </c>
      <c r="G27" s="27">
        <f>($N$23/12*2)/$N$24*E27</f>
        <v>596.08380840132975</v>
      </c>
      <c r="H27" s="28">
        <f t="shared" si="2"/>
        <v>-5.9018198851617854</v>
      </c>
      <c r="I27" s="55"/>
      <c r="L27" s="12"/>
    </row>
    <row r="28" spans="2:14" ht="51.75" x14ac:dyDescent="0.25">
      <c r="B28" s="79" t="s">
        <v>95</v>
      </c>
      <c r="C28" s="7" t="s">
        <v>122</v>
      </c>
      <c r="D28" s="24" t="s">
        <v>107</v>
      </c>
      <c r="E28" s="8">
        <v>1.18</v>
      </c>
      <c r="F28" s="26">
        <f t="shared" si="0"/>
        <v>8356.9769573889389</v>
      </c>
      <c r="G28" s="27">
        <f t="shared" si="1"/>
        <v>8440.546726962828</v>
      </c>
      <c r="H28" s="28">
        <f t="shared" si="2"/>
        <v>-83.569769573889062</v>
      </c>
      <c r="I28" s="55"/>
    </row>
    <row r="29" spans="2:14" ht="213" customHeight="1" x14ac:dyDescent="0.25">
      <c r="B29" s="32" t="s">
        <v>120</v>
      </c>
      <c r="C29" s="35" t="s">
        <v>110</v>
      </c>
      <c r="D29" s="24" t="s">
        <v>107</v>
      </c>
      <c r="E29" s="8">
        <v>5.61</v>
      </c>
      <c r="F29" s="26">
        <f t="shared" si="0"/>
        <v>39731.051466908437</v>
      </c>
      <c r="G29" s="27">
        <f t="shared" si="1"/>
        <v>40128.361981577516</v>
      </c>
      <c r="H29" s="28">
        <f t="shared" si="2"/>
        <v>-397.31051466907957</v>
      </c>
      <c r="I29" s="80"/>
      <c r="J29" s="2"/>
      <c r="K29" s="2"/>
      <c r="L29" s="1"/>
      <c r="M29" s="199"/>
      <c r="N29" s="199"/>
    </row>
    <row r="30" spans="2:14" ht="107.25" customHeight="1" x14ac:dyDescent="0.25">
      <c r="B30" s="79" t="s">
        <v>111</v>
      </c>
      <c r="C30" s="7" t="s">
        <v>121</v>
      </c>
      <c r="D30" s="24" t="s">
        <v>107</v>
      </c>
      <c r="E30" s="8">
        <v>0.19</v>
      </c>
      <c r="F30" s="26">
        <f t="shared" si="0"/>
        <v>1345.6149338168632</v>
      </c>
      <c r="G30" s="27">
        <f t="shared" ref="G30" si="3">$N$23/$N$24*E30</f>
        <v>1359.0710831550318</v>
      </c>
      <c r="H30" s="28">
        <f t="shared" si="2"/>
        <v>-13.456149338168643</v>
      </c>
      <c r="I30" s="55"/>
    </row>
    <row r="31" spans="2:14" ht="45" x14ac:dyDescent="0.25">
      <c r="B31" s="33" t="s">
        <v>112</v>
      </c>
      <c r="C31" s="7" t="s">
        <v>121</v>
      </c>
      <c r="D31" s="24" t="s">
        <v>107</v>
      </c>
      <c r="E31" s="8">
        <v>3.11</v>
      </c>
      <c r="F31" s="26">
        <v>23678.58</v>
      </c>
      <c r="G31" s="5">
        <v>17474</v>
      </c>
      <c r="H31" s="28">
        <f>F31-G31</f>
        <v>6204.5800000000017</v>
      </c>
      <c r="I31" s="55"/>
      <c r="L31" s="12"/>
    </row>
    <row r="32" spans="2:14" ht="16.5" thickBot="1" x14ac:dyDescent="0.3">
      <c r="B32" s="82" t="s">
        <v>97</v>
      </c>
      <c r="C32" s="37" t="s">
        <v>110</v>
      </c>
      <c r="D32" s="38" t="s">
        <v>107</v>
      </c>
      <c r="E32" s="39">
        <f>0.71+0.27</f>
        <v>0.98</v>
      </c>
      <c r="F32" s="26">
        <f t="shared" si="0"/>
        <v>6940.5401849501368</v>
      </c>
      <c r="G32" s="27">
        <f t="shared" ref="G32" si="4">$N$23/$N$24*E32</f>
        <v>7009.9455867996376</v>
      </c>
      <c r="H32" s="40">
        <f>F32-G32</f>
        <v>-69.405401849500777</v>
      </c>
      <c r="I32" s="55"/>
    </row>
    <row r="33" spans="2:14" ht="16.5" thickBot="1" x14ac:dyDescent="0.3">
      <c r="B33" s="84" t="s">
        <v>98</v>
      </c>
      <c r="C33" s="42"/>
      <c r="D33" s="42"/>
      <c r="E33" s="43">
        <f>SUM(E24:E32)</f>
        <v>14.139999999999999</v>
      </c>
      <c r="F33" s="44">
        <f>SUM(F24:F32)</f>
        <v>98844.158057419161</v>
      </c>
      <c r="G33" s="45">
        <f>SUM(G24:G32)</f>
        <v>93391.233837993364</v>
      </c>
      <c r="H33" s="46">
        <f>SUM(H24:H32)</f>
        <v>5452.9242194258177</v>
      </c>
      <c r="I33" s="124"/>
    </row>
    <row r="34" spans="2:14" x14ac:dyDescent="0.25">
      <c r="B34" s="12"/>
      <c r="C34" s="12"/>
      <c r="D34" s="12"/>
      <c r="E34" s="135"/>
      <c r="F34" s="135"/>
      <c r="G34" s="135"/>
      <c r="H34" s="136"/>
    </row>
    <row r="35" spans="2:14" ht="16.5" customHeight="1" thickBot="1" x14ac:dyDescent="0.3">
      <c r="B35" s="188" t="s">
        <v>165</v>
      </c>
      <c r="C35" s="188"/>
      <c r="D35" s="188"/>
      <c r="E35" s="188"/>
      <c r="F35" s="188"/>
      <c r="G35" s="188"/>
      <c r="H35" s="188"/>
      <c r="I35" s="88"/>
      <c r="J35" s="88"/>
    </row>
    <row r="36" spans="2:14" ht="44.25" customHeight="1" thickBot="1" x14ac:dyDescent="0.3">
      <c r="B36" s="110" t="s">
        <v>166</v>
      </c>
      <c r="C36" s="186" t="s">
        <v>113</v>
      </c>
      <c r="D36" s="187"/>
      <c r="E36" s="181" t="s">
        <v>10</v>
      </c>
      <c r="F36" s="189"/>
      <c r="G36" s="181" t="s">
        <v>11</v>
      </c>
      <c r="H36" s="182"/>
      <c r="I36" s="89"/>
      <c r="J36" s="93"/>
      <c r="K36" s="50"/>
      <c r="L36" s="51"/>
      <c r="M36" s="200"/>
      <c r="N36" s="200"/>
    </row>
    <row r="37" spans="2:14" x14ac:dyDescent="0.25">
      <c r="B37" s="111" t="s">
        <v>12</v>
      </c>
      <c r="C37" s="139">
        <f>E37+G37</f>
        <v>706105.46805741917</v>
      </c>
      <c r="D37" s="140"/>
      <c r="E37" s="143">
        <f>F24+F25+F26+F27+F28+F29+F30+F32+E16</f>
        <v>533442.09805741918</v>
      </c>
      <c r="F37" s="144"/>
      <c r="G37" s="143">
        <f>F31+G16</f>
        <v>172663.37</v>
      </c>
      <c r="H37" s="145"/>
      <c r="I37" s="91"/>
      <c r="J37" s="94"/>
      <c r="K37" s="9"/>
      <c r="L37" s="9"/>
      <c r="M37" s="201"/>
    </row>
    <row r="38" spans="2:14" x14ac:dyDescent="0.25">
      <c r="B38" s="52" t="s">
        <v>13</v>
      </c>
      <c r="C38" s="141">
        <f>E38+G38</f>
        <v>673706.3</v>
      </c>
      <c r="D38" s="142"/>
      <c r="E38" s="141">
        <f>E17+84333.37</f>
        <v>509086.20000000007</v>
      </c>
      <c r="F38" s="142"/>
      <c r="G38" s="141">
        <f>G17+25563.04</f>
        <v>164620.1</v>
      </c>
      <c r="H38" s="146"/>
      <c r="I38" s="91"/>
      <c r="J38" s="94"/>
      <c r="K38" s="11"/>
      <c r="L38" s="9"/>
      <c r="M38" s="201"/>
    </row>
    <row r="39" spans="2:14" ht="16.5" thickBot="1" x14ac:dyDescent="0.3">
      <c r="B39" s="54" t="s">
        <v>87</v>
      </c>
      <c r="C39" s="147">
        <f>E39+G39</f>
        <v>762855.5238379935</v>
      </c>
      <c r="D39" s="148"/>
      <c r="E39" s="150">
        <f>G24+G25+G26+G27+G28+G29+G30+G32+E18</f>
        <v>532687.5238379935</v>
      </c>
      <c r="F39" s="151"/>
      <c r="G39" s="150">
        <f>G31+G18</f>
        <v>230168</v>
      </c>
      <c r="H39" s="152"/>
      <c r="I39" s="91"/>
      <c r="J39" s="94"/>
      <c r="K39" s="55"/>
      <c r="L39" s="55"/>
    </row>
    <row r="40" spans="2:14" ht="29.25" customHeight="1" thickBot="1" x14ac:dyDescent="0.3">
      <c r="B40" s="13" t="s">
        <v>150</v>
      </c>
      <c r="C40" s="156">
        <f>E40+G40</f>
        <v>-89149.223837993428</v>
      </c>
      <c r="D40" s="157"/>
      <c r="E40" s="154">
        <f>E38-E39</f>
        <v>-23601.323837993434</v>
      </c>
      <c r="F40" s="155"/>
      <c r="G40" s="154">
        <f>G38-G39</f>
        <v>-65547.899999999994</v>
      </c>
      <c r="H40" s="158"/>
      <c r="I40" s="91"/>
      <c r="J40" s="94"/>
      <c r="K40" s="55"/>
      <c r="L40" s="55"/>
    </row>
    <row r="41" spans="2:14" ht="29.25" customHeight="1" x14ac:dyDescent="0.25">
      <c r="B41" s="128" t="s">
        <v>88</v>
      </c>
      <c r="C41" s="149" t="s">
        <v>155</v>
      </c>
      <c r="D41" s="149"/>
      <c r="E41" s="149"/>
      <c r="F41" s="153" t="s">
        <v>14</v>
      </c>
      <c r="G41" s="153"/>
      <c r="H41" s="92"/>
      <c r="I41" s="92"/>
      <c r="J41" s="2"/>
      <c r="K41" s="2"/>
      <c r="L41" s="2"/>
      <c r="M41" s="199"/>
      <c r="N41" s="199"/>
    </row>
    <row r="42" spans="2:14" ht="9.75" customHeight="1" x14ac:dyDescent="0.25">
      <c r="B42" s="128"/>
      <c r="C42" s="128"/>
      <c r="D42" s="128"/>
      <c r="E42" s="127"/>
      <c r="F42" s="160"/>
      <c r="G42" s="160"/>
      <c r="H42" s="92"/>
      <c r="I42" s="92"/>
      <c r="J42" s="2"/>
      <c r="K42" s="2"/>
      <c r="L42" s="2"/>
      <c r="M42" s="199"/>
      <c r="N42" s="199"/>
    </row>
    <row r="43" spans="2:14" x14ac:dyDescent="0.25">
      <c r="B43" s="128" t="s">
        <v>89</v>
      </c>
      <c r="C43" s="149" t="s">
        <v>155</v>
      </c>
      <c r="D43" s="149"/>
      <c r="E43" s="149"/>
      <c r="F43" s="153" t="s">
        <v>100</v>
      </c>
      <c r="G43" s="153"/>
      <c r="H43" s="92"/>
      <c r="I43" s="92"/>
      <c r="J43" s="2"/>
      <c r="K43" s="2"/>
      <c r="L43" s="2"/>
      <c r="M43" s="199"/>
      <c r="N43" s="199"/>
    </row>
    <row r="44" spans="2:14" ht="6.75" customHeight="1" x14ac:dyDescent="0.25">
      <c r="B44" s="128"/>
      <c r="C44" s="128"/>
      <c r="D44" s="128"/>
      <c r="E44" s="127"/>
      <c r="F44" s="153"/>
      <c r="G44" s="153"/>
      <c r="H44" s="92"/>
      <c r="I44" s="92"/>
    </row>
    <row r="45" spans="2:14" x14ac:dyDescent="0.25">
      <c r="B45" s="128" t="s">
        <v>90</v>
      </c>
      <c r="C45" s="149" t="s">
        <v>155</v>
      </c>
      <c r="D45" s="149"/>
      <c r="E45" s="149"/>
      <c r="F45" s="153" t="s">
        <v>114</v>
      </c>
      <c r="G45" s="153"/>
      <c r="H45" s="92"/>
      <c r="I45" s="92"/>
    </row>
    <row r="46" spans="2:14" ht="9.75" customHeight="1" x14ac:dyDescent="0.25">
      <c r="B46" s="56"/>
      <c r="C46" s="56"/>
      <c r="D46" s="56"/>
      <c r="E46" s="127"/>
      <c r="F46" s="57"/>
      <c r="G46" s="58"/>
      <c r="H46" s="59"/>
      <c r="I46" s="10"/>
    </row>
    <row r="47" spans="2:14" x14ac:dyDescent="0.25">
      <c r="B47" s="128" t="s">
        <v>91</v>
      </c>
      <c r="C47" s="149" t="s">
        <v>155</v>
      </c>
      <c r="D47" s="149"/>
      <c r="E47" s="149"/>
      <c r="F47" s="153" t="s">
        <v>114</v>
      </c>
      <c r="G47" s="153"/>
      <c r="H47" s="92"/>
      <c r="I47" s="92"/>
    </row>
    <row r="48" spans="2:14" ht="7.5" customHeight="1" x14ac:dyDescent="0.25">
      <c r="C48" s="3"/>
      <c r="D48" s="3"/>
      <c r="E48" s="131"/>
      <c r="F48" s="179"/>
      <c r="G48" s="179"/>
      <c r="H48" s="136"/>
      <c r="I48" s="136"/>
    </row>
  </sheetData>
  <mergeCells count="55">
    <mergeCell ref="C19:D19"/>
    <mergeCell ref="E19:F19"/>
    <mergeCell ref="G19:H19"/>
    <mergeCell ref="G16:H16"/>
    <mergeCell ref="C17:D17"/>
    <mergeCell ref="E17:F17"/>
    <mergeCell ref="G17:H17"/>
    <mergeCell ref="C18:D18"/>
    <mergeCell ref="E18:F18"/>
    <mergeCell ref="G18:H18"/>
    <mergeCell ref="B1:H1"/>
    <mergeCell ref="B21:H21"/>
    <mergeCell ref="B22:B23"/>
    <mergeCell ref="C22:C23"/>
    <mergeCell ref="D22:D23"/>
    <mergeCell ref="E22:E23"/>
    <mergeCell ref="F22:G22"/>
    <mergeCell ref="H22:H23"/>
    <mergeCell ref="B2:H3"/>
    <mergeCell ref="D5:E5"/>
    <mergeCell ref="B14:H14"/>
    <mergeCell ref="C15:D15"/>
    <mergeCell ref="E15:F15"/>
    <mergeCell ref="G15:H15"/>
    <mergeCell ref="C16:D16"/>
    <mergeCell ref="E16:F16"/>
    <mergeCell ref="F41:G41"/>
    <mergeCell ref="F42:G42"/>
    <mergeCell ref="E40:F40"/>
    <mergeCell ref="E38:F38"/>
    <mergeCell ref="G38:H38"/>
    <mergeCell ref="E39:F39"/>
    <mergeCell ref="G39:H39"/>
    <mergeCell ref="C41:E41"/>
    <mergeCell ref="G40:H40"/>
    <mergeCell ref="F48:G48"/>
    <mergeCell ref="F45:G45"/>
    <mergeCell ref="F47:G47"/>
    <mergeCell ref="F43:G43"/>
    <mergeCell ref="F44:G44"/>
    <mergeCell ref="M21:M22"/>
    <mergeCell ref="N21:N22"/>
    <mergeCell ref="C36:D36"/>
    <mergeCell ref="C37:D37"/>
    <mergeCell ref="C38:D38"/>
    <mergeCell ref="B35:H35"/>
    <mergeCell ref="E36:F36"/>
    <mergeCell ref="G36:H36"/>
    <mergeCell ref="E37:F37"/>
    <mergeCell ref="G37:H37"/>
    <mergeCell ref="C43:E43"/>
    <mergeCell ref="C45:E45"/>
    <mergeCell ref="C47:E47"/>
    <mergeCell ref="C39:D39"/>
    <mergeCell ref="C40:D40"/>
  </mergeCells>
  <printOptions horizontalCentered="1"/>
  <pageMargins left="0.15748031496062992" right="0.15748031496062992" top="0.15748031496062992" bottom="0.15748031496062992" header="0.15748031496062992" footer="0.15748031496062992"/>
  <pageSetup paperSize="9" scale="4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48"/>
  <sheetViews>
    <sheetView zoomScale="110" zoomScaleNormal="110" workbookViewId="0">
      <selection activeCell="G28" sqref="G28"/>
    </sheetView>
  </sheetViews>
  <sheetFormatPr defaultColWidth="9.140625" defaultRowHeight="15.75" outlineLevelRow="1" x14ac:dyDescent="0.25"/>
  <cols>
    <col min="1" max="1" width="2.85546875" style="3" customWidth="1"/>
    <col min="2" max="2" width="55.7109375" style="3" customWidth="1"/>
    <col min="3" max="3" width="21.85546875" style="136" customWidth="1"/>
    <col min="4" max="4" width="9" style="136" customWidth="1"/>
    <col min="5" max="5" width="11.140625" style="136" customWidth="1"/>
    <col min="6" max="6" width="9.85546875" style="3" customWidth="1"/>
    <col min="7" max="7" width="10.42578125" style="3" customWidth="1"/>
    <col min="8" max="8" width="10.7109375" style="3" customWidth="1"/>
    <col min="9" max="9" width="12.28515625" style="3" customWidth="1"/>
    <col min="10" max="12" width="9.140625" style="3"/>
    <col min="13" max="13" width="12.7109375" style="194" customWidth="1"/>
    <col min="14" max="14" width="14.28515625" style="194" customWidth="1"/>
    <col min="15" max="16384" width="9.140625" style="3"/>
  </cols>
  <sheetData>
    <row r="1" spans="1:9" x14ac:dyDescent="0.25">
      <c r="B1" s="161" t="s">
        <v>116</v>
      </c>
      <c r="C1" s="161"/>
      <c r="D1" s="161"/>
      <c r="E1" s="161"/>
      <c r="F1" s="161"/>
      <c r="G1" s="161"/>
      <c r="H1" s="161"/>
    </row>
    <row r="2" spans="1:9" ht="19.5" customHeight="1" x14ac:dyDescent="0.3">
      <c r="A2" s="14"/>
      <c r="B2" s="185" t="s">
        <v>162</v>
      </c>
      <c r="C2" s="185"/>
      <c r="D2" s="185"/>
      <c r="E2" s="185"/>
      <c r="F2" s="185"/>
      <c r="G2" s="185"/>
      <c r="H2" s="185"/>
    </row>
    <row r="3" spans="1:9" ht="20.25" customHeight="1" x14ac:dyDescent="0.3">
      <c r="A3" s="14"/>
      <c r="B3" s="185"/>
      <c r="C3" s="185"/>
      <c r="D3" s="185"/>
      <c r="E3" s="185"/>
      <c r="F3" s="185"/>
      <c r="G3" s="185"/>
      <c r="H3" s="185"/>
    </row>
    <row r="4" spans="1:9" ht="8.25" customHeight="1" x14ac:dyDescent="0.25"/>
    <row r="5" spans="1:9" x14ac:dyDescent="0.25">
      <c r="B5" s="10" t="s">
        <v>0</v>
      </c>
      <c r="C5" s="59"/>
      <c r="D5" s="192" t="s">
        <v>80</v>
      </c>
      <c r="E5" s="192"/>
      <c r="F5" s="10"/>
    </row>
    <row r="6" spans="1:9" x14ac:dyDescent="0.25">
      <c r="B6" s="10" t="s">
        <v>1</v>
      </c>
      <c r="C6" s="59"/>
      <c r="D6" s="137">
        <v>1961</v>
      </c>
      <c r="E6" s="137"/>
      <c r="F6" s="10"/>
    </row>
    <row r="7" spans="1:9" hidden="1" outlineLevel="1" x14ac:dyDescent="0.25">
      <c r="B7" s="10" t="s">
        <v>2</v>
      </c>
      <c r="C7" s="59"/>
      <c r="D7" s="137">
        <v>2</v>
      </c>
      <c r="E7" s="137"/>
      <c r="F7" s="10"/>
    </row>
    <row r="8" spans="1:9" hidden="1" outlineLevel="1" x14ac:dyDescent="0.25">
      <c r="B8" s="10" t="s">
        <v>3</v>
      </c>
      <c r="C8" s="59"/>
      <c r="D8" s="137">
        <v>16</v>
      </c>
      <c r="E8" s="137"/>
      <c r="F8" s="10"/>
    </row>
    <row r="9" spans="1:9" ht="30.75" hidden="1" customHeight="1" outlineLevel="1" x14ac:dyDescent="0.25">
      <c r="B9" s="122" t="s">
        <v>4</v>
      </c>
      <c r="C9" s="123"/>
      <c r="D9" s="137" t="s">
        <v>81</v>
      </c>
      <c r="E9" s="137"/>
      <c r="F9" s="10"/>
    </row>
    <row r="10" spans="1:9" collapsed="1" x14ac:dyDescent="0.25">
      <c r="B10" s="10" t="s">
        <v>5</v>
      </c>
      <c r="C10" s="59"/>
      <c r="D10" s="137" t="s">
        <v>146</v>
      </c>
      <c r="E10" s="137"/>
      <c r="F10" s="10"/>
      <c r="I10" s="12"/>
    </row>
    <row r="11" spans="1:9" hidden="1" outlineLevel="1" x14ac:dyDescent="0.25">
      <c r="B11" s="3" t="s">
        <v>6</v>
      </c>
      <c r="D11" s="126" t="s">
        <v>7</v>
      </c>
      <c r="E11" s="126"/>
    </row>
    <row r="12" spans="1:9" ht="30.75" hidden="1" customHeight="1" outlineLevel="1" x14ac:dyDescent="0.25">
      <c r="B12" s="17" t="s">
        <v>8</v>
      </c>
      <c r="C12" s="63"/>
      <c r="D12" s="138" t="s">
        <v>82</v>
      </c>
      <c r="E12" s="126"/>
      <c r="I12" s="12"/>
    </row>
    <row r="13" spans="1:9" ht="9.75" customHeight="1" collapsed="1" x14ac:dyDescent="0.25">
      <c r="B13" s="17"/>
      <c r="C13" s="63"/>
      <c r="D13" s="138"/>
      <c r="E13" s="126"/>
      <c r="I13" s="12"/>
    </row>
    <row r="14" spans="1:9" ht="16.5" thickBot="1" x14ac:dyDescent="0.3">
      <c r="B14" s="188" t="s">
        <v>157</v>
      </c>
      <c r="C14" s="188"/>
      <c r="D14" s="188"/>
      <c r="E14" s="188"/>
      <c r="F14" s="188"/>
      <c r="G14" s="188"/>
      <c r="H14" s="188"/>
      <c r="I14" s="12"/>
    </row>
    <row r="15" spans="1:9" ht="40.5" customHeight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  <c r="I15" s="12"/>
    </row>
    <row r="16" spans="1:9" x14ac:dyDescent="0.25">
      <c r="B16" s="111" t="s">
        <v>12</v>
      </c>
      <c r="C16" s="139">
        <v>594433.46</v>
      </c>
      <c r="D16" s="175"/>
      <c r="E16" s="143">
        <v>443204.35000000003</v>
      </c>
      <c r="F16" s="144"/>
      <c r="G16" s="143">
        <v>151229.10999999999</v>
      </c>
      <c r="H16" s="145"/>
      <c r="I16" s="12"/>
    </row>
    <row r="17" spans="2:14" x14ac:dyDescent="0.25">
      <c r="B17" s="52" t="s">
        <v>13</v>
      </c>
      <c r="C17" s="141">
        <v>583298.24</v>
      </c>
      <c r="D17" s="173"/>
      <c r="E17" s="141">
        <v>435093.68</v>
      </c>
      <c r="F17" s="142"/>
      <c r="G17" s="141">
        <v>148204.56</v>
      </c>
      <c r="H17" s="146"/>
      <c r="I17" s="12"/>
    </row>
    <row r="18" spans="2:14" ht="16.5" thickBot="1" x14ac:dyDescent="0.3">
      <c r="B18" s="54" t="s">
        <v>87</v>
      </c>
      <c r="C18" s="147">
        <v>653410.08380000002</v>
      </c>
      <c r="D18" s="174"/>
      <c r="E18" s="150">
        <v>449474.08380000002</v>
      </c>
      <c r="F18" s="151"/>
      <c r="G18" s="150">
        <v>203936</v>
      </c>
      <c r="H18" s="152"/>
      <c r="I18" s="12"/>
    </row>
    <row r="19" spans="2:14" ht="33" customHeight="1" thickBot="1" x14ac:dyDescent="0.3">
      <c r="B19" s="13" t="s">
        <v>149</v>
      </c>
      <c r="C19" s="156">
        <f>E19+G19</f>
        <v>-70111.843800000031</v>
      </c>
      <c r="D19" s="157"/>
      <c r="E19" s="154">
        <f>E17-E18</f>
        <v>-14380.403800000029</v>
      </c>
      <c r="F19" s="155"/>
      <c r="G19" s="154">
        <f>G17-G18</f>
        <v>-55731.44</v>
      </c>
      <c r="H19" s="158"/>
      <c r="I19" s="12"/>
    </row>
    <row r="20" spans="2:14" x14ac:dyDescent="0.25">
      <c r="B20" s="17"/>
      <c r="C20" s="63"/>
      <c r="D20" s="138"/>
      <c r="E20" s="126"/>
      <c r="I20" s="12"/>
    </row>
    <row r="21" spans="2:14" ht="16.5" customHeight="1" thickBot="1" x14ac:dyDescent="0.3">
      <c r="B21" s="193" t="s">
        <v>163</v>
      </c>
      <c r="C21" s="193"/>
      <c r="D21" s="193"/>
      <c r="E21" s="193"/>
      <c r="F21" s="193"/>
      <c r="G21" s="193"/>
      <c r="H21" s="193"/>
      <c r="L21" s="12"/>
      <c r="M21" s="195" t="s">
        <v>151</v>
      </c>
      <c r="N21" s="195" t="s">
        <v>152</v>
      </c>
    </row>
    <row r="22" spans="2:14" ht="34.5" customHeight="1" x14ac:dyDescent="0.25">
      <c r="B22" s="162" t="s">
        <v>101</v>
      </c>
      <c r="C22" s="164" t="s">
        <v>102</v>
      </c>
      <c r="D22" s="164" t="s">
        <v>103</v>
      </c>
      <c r="E22" s="166" t="s">
        <v>167</v>
      </c>
      <c r="F22" s="168" t="s">
        <v>104</v>
      </c>
      <c r="G22" s="169"/>
      <c r="H22" s="170" t="s">
        <v>123</v>
      </c>
      <c r="L22" s="12"/>
      <c r="M22" s="196"/>
      <c r="N22" s="196"/>
    </row>
    <row r="23" spans="2:14" ht="39.75" customHeight="1" thickBot="1" x14ac:dyDescent="0.3">
      <c r="B23" s="163"/>
      <c r="C23" s="165"/>
      <c r="D23" s="165"/>
      <c r="E23" s="167"/>
      <c r="F23" s="21" t="s">
        <v>92</v>
      </c>
      <c r="G23" s="22" t="s">
        <v>93</v>
      </c>
      <c r="H23" s="171"/>
      <c r="M23" s="197">
        <v>74488.25</v>
      </c>
      <c r="N23" s="197">
        <f>M23*1.01</f>
        <v>75233.132500000007</v>
      </c>
    </row>
    <row r="24" spans="2:14" ht="53.25" customHeight="1" x14ac:dyDescent="0.25">
      <c r="B24" s="23" t="s">
        <v>105</v>
      </c>
      <c r="C24" s="7" t="s">
        <v>121</v>
      </c>
      <c r="D24" s="24" t="s">
        <v>107</v>
      </c>
      <c r="E24" s="25">
        <v>1.06</v>
      </c>
      <c r="F24" s="26">
        <f>$M$23/$M$24*E24</f>
        <v>7351.7267225325895</v>
      </c>
      <c r="G24" s="27">
        <f>$N$23/$N$24*E24</f>
        <v>7425.243989757917</v>
      </c>
      <c r="H24" s="28">
        <f>F24-G24</f>
        <v>-73.517267225327487</v>
      </c>
      <c r="I24" s="78"/>
      <c r="J24" s="134"/>
      <c r="K24" s="134"/>
      <c r="L24" s="31"/>
      <c r="M24" s="198">
        <f>E33-E31</f>
        <v>10.739999999999998</v>
      </c>
      <c r="N24" s="198">
        <f>E33-E31</f>
        <v>10.739999999999998</v>
      </c>
    </row>
    <row r="25" spans="2:14" ht="56.25" x14ac:dyDescent="0.25">
      <c r="B25" s="79" t="s">
        <v>99</v>
      </c>
      <c r="C25" s="7" t="s">
        <v>121</v>
      </c>
      <c r="D25" s="24" t="s">
        <v>107</v>
      </c>
      <c r="E25" s="8">
        <v>1.19</v>
      </c>
      <c r="F25" s="26">
        <f t="shared" ref="F25:F32" si="0">$M$23/$M$24*E25</f>
        <v>8253.3535847299827</v>
      </c>
      <c r="G25" s="27">
        <f t="shared" ref="G25:G29" si="1">$N$23/$N$24*E25</f>
        <v>8335.887120577283</v>
      </c>
      <c r="H25" s="28">
        <f t="shared" ref="H25:H30" si="2">F25-G25</f>
        <v>-82.5335358473003</v>
      </c>
      <c r="I25" s="80"/>
      <c r="J25" s="2"/>
      <c r="K25" s="2"/>
      <c r="L25" s="2"/>
      <c r="M25" s="199"/>
      <c r="N25" s="199"/>
    </row>
    <row r="26" spans="2:14" ht="51.75" customHeight="1" x14ac:dyDescent="0.25">
      <c r="B26" s="33" t="s">
        <v>94</v>
      </c>
      <c r="C26" s="7" t="s">
        <v>121</v>
      </c>
      <c r="D26" s="24" t="s">
        <v>107</v>
      </c>
      <c r="E26" s="8">
        <v>0.32</v>
      </c>
      <c r="F26" s="26">
        <f t="shared" si="0"/>
        <v>2219.3891992551212</v>
      </c>
      <c r="G26" s="27">
        <f t="shared" si="1"/>
        <v>2241.5830912476731</v>
      </c>
      <c r="H26" s="28">
        <f t="shared" si="2"/>
        <v>-22.193891992551926</v>
      </c>
      <c r="I26" s="55"/>
      <c r="L26" s="12"/>
    </row>
    <row r="27" spans="2:14" ht="26.25" x14ac:dyDescent="0.25">
      <c r="B27" s="81" t="s">
        <v>108</v>
      </c>
      <c r="C27" s="34" t="s">
        <v>109</v>
      </c>
      <c r="D27" s="24" t="s">
        <v>107</v>
      </c>
      <c r="E27" s="8">
        <v>0.5</v>
      </c>
      <c r="F27" s="26">
        <f>($M$23/12*2)/$M$24*E27</f>
        <v>577.96593730602126</v>
      </c>
      <c r="G27" s="27">
        <f>($N$23/12*2)/$N$24*E27</f>
        <v>583.74559667908147</v>
      </c>
      <c r="H27" s="28">
        <f t="shared" si="2"/>
        <v>-5.7796593730602126</v>
      </c>
      <c r="I27" s="55"/>
      <c r="L27" s="12"/>
    </row>
    <row r="28" spans="2:14" ht="51.75" x14ac:dyDescent="0.25">
      <c r="B28" s="79" t="s">
        <v>95</v>
      </c>
      <c r="C28" s="7" t="s">
        <v>122</v>
      </c>
      <c r="D28" s="24" t="s">
        <v>107</v>
      </c>
      <c r="E28" s="8">
        <v>1.18</v>
      </c>
      <c r="F28" s="26">
        <f t="shared" si="0"/>
        <v>8183.9976722532592</v>
      </c>
      <c r="G28" s="27">
        <f t="shared" si="1"/>
        <v>8265.8376489757939</v>
      </c>
      <c r="H28" s="28">
        <f t="shared" si="2"/>
        <v>-81.83997672253463</v>
      </c>
      <c r="I28" s="55"/>
    </row>
    <row r="29" spans="2:14" ht="146.25" customHeight="1" x14ac:dyDescent="0.25">
      <c r="B29" s="79" t="s">
        <v>96</v>
      </c>
      <c r="C29" s="35" t="s">
        <v>110</v>
      </c>
      <c r="D29" s="24" t="s">
        <v>107</v>
      </c>
      <c r="E29" s="8">
        <v>5.61</v>
      </c>
      <c r="F29" s="26">
        <f t="shared" si="0"/>
        <v>38908.666899441349</v>
      </c>
      <c r="G29" s="27">
        <f t="shared" si="1"/>
        <v>39297.753568435764</v>
      </c>
      <c r="H29" s="28">
        <f t="shared" si="2"/>
        <v>-389.08666899441596</v>
      </c>
      <c r="I29" s="80"/>
      <c r="J29" s="2"/>
      <c r="K29" s="2"/>
      <c r="L29" s="1"/>
      <c r="M29" s="199"/>
      <c r="N29" s="199"/>
    </row>
    <row r="30" spans="2:14" ht="107.25" customHeight="1" x14ac:dyDescent="0.25">
      <c r="B30" s="79" t="s">
        <v>111</v>
      </c>
      <c r="C30" s="7" t="s">
        <v>121</v>
      </c>
      <c r="D30" s="24" t="s">
        <v>107</v>
      </c>
      <c r="E30" s="8">
        <v>0.19</v>
      </c>
      <c r="F30" s="26">
        <f t="shared" si="0"/>
        <v>1317.7623370577282</v>
      </c>
      <c r="G30" s="27">
        <f t="shared" ref="G30" si="3">$N$23/$N$24*E30</f>
        <v>1330.9399604283058</v>
      </c>
      <c r="H30" s="28">
        <f t="shared" si="2"/>
        <v>-13.177623370577521</v>
      </c>
      <c r="I30" s="55"/>
    </row>
    <row r="31" spans="2:14" ht="56.25" x14ac:dyDescent="0.25">
      <c r="B31" s="33" t="s">
        <v>112</v>
      </c>
      <c r="C31" s="7" t="s">
        <v>121</v>
      </c>
      <c r="D31" s="24" t="s">
        <v>107</v>
      </c>
      <c r="E31" s="8">
        <v>3.4</v>
      </c>
      <c r="F31" s="26">
        <v>25402.21</v>
      </c>
      <c r="G31" s="5">
        <v>13452</v>
      </c>
      <c r="H31" s="28">
        <f>F31-G31</f>
        <v>11950.21</v>
      </c>
      <c r="I31" s="55"/>
      <c r="L31" s="12"/>
    </row>
    <row r="32" spans="2:14" ht="16.5" thickBot="1" x14ac:dyDescent="0.3">
      <c r="B32" s="82" t="s">
        <v>97</v>
      </c>
      <c r="C32" s="37" t="s">
        <v>110</v>
      </c>
      <c r="D32" s="38" t="s">
        <v>107</v>
      </c>
      <c r="E32" s="39">
        <v>0.69</v>
      </c>
      <c r="F32" s="26">
        <f t="shared" si="0"/>
        <v>4785.5579608938551</v>
      </c>
      <c r="G32" s="27">
        <f t="shared" ref="G32" si="4">$N$23/$N$24*E32</f>
        <v>4833.4135405027946</v>
      </c>
      <c r="H32" s="40">
        <f>F32-G32</f>
        <v>-47.855579608939479</v>
      </c>
      <c r="I32" s="55"/>
    </row>
    <row r="33" spans="2:14" ht="16.5" thickBot="1" x14ac:dyDescent="0.3">
      <c r="B33" s="84" t="s">
        <v>98</v>
      </c>
      <c r="C33" s="42"/>
      <c r="D33" s="42"/>
      <c r="E33" s="43">
        <f>SUM(E24:E32)</f>
        <v>14.139999999999999</v>
      </c>
      <c r="F33" s="44">
        <f>SUM(F24:F32)</f>
        <v>97000.630313469897</v>
      </c>
      <c r="G33" s="45">
        <f>SUM(G24:G32)</f>
        <v>85766.404516604613</v>
      </c>
      <c r="H33" s="46">
        <f>SUM(H24:H32)</f>
        <v>11234.225796865292</v>
      </c>
      <c r="I33" s="124"/>
    </row>
    <row r="34" spans="2:14" ht="11.25" customHeight="1" x14ac:dyDescent="0.25">
      <c r="B34" s="12"/>
      <c r="C34" s="12"/>
      <c r="D34" s="12"/>
      <c r="E34" s="135"/>
      <c r="F34" s="135"/>
      <c r="G34" s="135"/>
      <c r="H34" s="136"/>
    </row>
    <row r="35" spans="2:14" ht="16.5" customHeight="1" thickBot="1" x14ac:dyDescent="0.3">
      <c r="B35" s="188" t="s">
        <v>165</v>
      </c>
      <c r="C35" s="188"/>
      <c r="D35" s="188"/>
      <c r="E35" s="188"/>
      <c r="F35" s="188"/>
      <c r="G35" s="188"/>
      <c r="H35" s="188"/>
      <c r="I35" s="88"/>
      <c r="J35" s="88"/>
    </row>
    <row r="36" spans="2:14" ht="44.25" customHeight="1" thickBot="1" x14ac:dyDescent="0.3">
      <c r="B36" s="110" t="s">
        <v>166</v>
      </c>
      <c r="C36" s="186" t="s">
        <v>113</v>
      </c>
      <c r="D36" s="187"/>
      <c r="E36" s="181" t="s">
        <v>10</v>
      </c>
      <c r="F36" s="189"/>
      <c r="G36" s="181" t="s">
        <v>11</v>
      </c>
      <c r="H36" s="182"/>
      <c r="I36" s="89"/>
      <c r="J36" s="93"/>
      <c r="K36" s="50"/>
      <c r="L36" s="51"/>
      <c r="M36" s="200"/>
      <c r="N36" s="200"/>
    </row>
    <row r="37" spans="2:14" x14ac:dyDescent="0.25">
      <c r="B37" s="111" t="s">
        <v>12</v>
      </c>
      <c r="C37" s="139">
        <f>E37+G37</f>
        <v>691434.09031346987</v>
      </c>
      <c r="D37" s="140"/>
      <c r="E37" s="143">
        <f>F24+F25+F26+F27+F28+F29+F30+F32+E16</f>
        <v>514802.77031346993</v>
      </c>
      <c r="F37" s="144"/>
      <c r="G37" s="143">
        <f>F31+G16</f>
        <v>176631.31999999998</v>
      </c>
      <c r="H37" s="145"/>
      <c r="I37" s="91"/>
      <c r="J37" s="94"/>
      <c r="K37" s="9"/>
      <c r="L37" s="9"/>
      <c r="M37" s="201"/>
    </row>
    <row r="38" spans="2:14" x14ac:dyDescent="0.25">
      <c r="B38" s="52" t="s">
        <v>13</v>
      </c>
      <c r="C38" s="141">
        <f>E38+G38</f>
        <v>690653.73</v>
      </c>
      <c r="D38" s="142"/>
      <c r="E38" s="141">
        <f>E17+80054.92</f>
        <v>515148.6</v>
      </c>
      <c r="F38" s="142"/>
      <c r="G38" s="141">
        <f>G17+27300.57</f>
        <v>175505.13</v>
      </c>
      <c r="H38" s="146"/>
      <c r="I38" s="91"/>
      <c r="J38" s="94"/>
      <c r="K38" s="11"/>
      <c r="L38" s="9"/>
      <c r="M38" s="201"/>
    </row>
    <row r="39" spans="2:14" ht="16.5" thickBot="1" x14ac:dyDescent="0.3">
      <c r="B39" s="54" t="s">
        <v>87</v>
      </c>
      <c r="C39" s="147">
        <f>E39+G39</f>
        <v>739176.48831660463</v>
      </c>
      <c r="D39" s="148"/>
      <c r="E39" s="150">
        <f>G24+G25+G26+G27+G28+G29+G30+G32+E18</f>
        <v>521788.48831660463</v>
      </c>
      <c r="F39" s="151"/>
      <c r="G39" s="150">
        <f>G31+G18</f>
        <v>217388</v>
      </c>
      <c r="H39" s="152"/>
      <c r="I39" s="91"/>
      <c r="J39" s="94"/>
      <c r="K39" s="55"/>
      <c r="L39" s="55"/>
    </row>
    <row r="40" spans="2:14" ht="33" customHeight="1" thickBot="1" x14ac:dyDescent="0.3">
      <c r="B40" s="13" t="s">
        <v>150</v>
      </c>
      <c r="C40" s="156">
        <f>E40+G40</f>
        <v>-48522.758316604653</v>
      </c>
      <c r="D40" s="157"/>
      <c r="E40" s="154">
        <f>E38-E39</f>
        <v>-6639.888316604658</v>
      </c>
      <c r="F40" s="155"/>
      <c r="G40" s="154">
        <f>G38-G39</f>
        <v>-41882.869999999995</v>
      </c>
      <c r="H40" s="158"/>
      <c r="I40" s="91"/>
      <c r="J40" s="94"/>
      <c r="K40" s="55"/>
      <c r="L40" s="55"/>
    </row>
    <row r="41" spans="2:14" ht="22.5" customHeight="1" x14ac:dyDescent="0.25">
      <c r="B41" s="128" t="s">
        <v>88</v>
      </c>
      <c r="C41" s="149" t="s">
        <v>155</v>
      </c>
      <c r="D41" s="149"/>
      <c r="E41" s="149"/>
      <c r="F41" s="153" t="s">
        <v>14</v>
      </c>
      <c r="G41" s="153"/>
      <c r="H41" s="92"/>
      <c r="I41" s="92"/>
      <c r="J41" s="2"/>
      <c r="K41" s="2"/>
      <c r="L41" s="2"/>
      <c r="M41" s="199"/>
      <c r="N41" s="199"/>
    </row>
    <row r="42" spans="2:14" ht="9.75" customHeight="1" x14ac:dyDescent="0.25">
      <c r="B42" s="128"/>
      <c r="C42" s="128"/>
      <c r="D42" s="128"/>
      <c r="E42" s="127"/>
      <c r="F42" s="160"/>
      <c r="G42" s="160"/>
      <c r="H42" s="92"/>
      <c r="I42" s="92"/>
      <c r="J42" s="2"/>
      <c r="K42" s="2"/>
      <c r="L42" s="2"/>
      <c r="M42" s="199"/>
      <c r="N42" s="199"/>
    </row>
    <row r="43" spans="2:14" x14ac:dyDescent="0.25">
      <c r="B43" s="128" t="s">
        <v>89</v>
      </c>
      <c r="C43" s="149" t="s">
        <v>155</v>
      </c>
      <c r="D43" s="149"/>
      <c r="E43" s="149"/>
      <c r="F43" s="153" t="s">
        <v>100</v>
      </c>
      <c r="G43" s="153"/>
      <c r="H43" s="92"/>
      <c r="I43" s="92"/>
      <c r="J43" s="2"/>
      <c r="K43" s="2"/>
      <c r="L43" s="2"/>
      <c r="M43" s="199"/>
      <c r="N43" s="199"/>
    </row>
    <row r="44" spans="2:14" ht="6.75" customHeight="1" x14ac:dyDescent="0.25">
      <c r="B44" s="128"/>
      <c r="C44" s="128"/>
      <c r="D44" s="128"/>
      <c r="E44" s="127"/>
      <c r="F44" s="153"/>
      <c r="G44" s="153"/>
      <c r="H44" s="92"/>
      <c r="I44" s="92"/>
    </row>
    <row r="45" spans="2:14" x14ac:dyDescent="0.25">
      <c r="B45" s="128" t="s">
        <v>90</v>
      </c>
      <c r="C45" s="149" t="s">
        <v>155</v>
      </c>
      <c r="D45" s="149"/>
      <c r="E45" s="149"/>
      <c r="F45" s="153" t="s">
        <v>114</v>
      </c>
      <c r="G45" s="153"/>
      <c r="H45" s="92"/>
      <c r="I45" s="92"/>
    </row>
    <row r="46" spans="2:14" ht="9.75" customHeight="1" x14ac:dyDescent="0.25">
      <c r="B46" s="56"/>
      <c r="C46" s="56"/>
      <c r="D46" s="56"/>
      <c r="E46" s="127"/>
      <c r="F46" s="57"/>
      <c r="G46" s="58"/>
      <c r="H46" s="59"/>
      <c r="I46" s="10"/>
    </row>
    <row r="47" spans="2:14" ht="14.25" customHeight="1" x14ac:dyDescent="0.25">
      <c r="B47" s="128" t="s">
        <v>91</v>
      </c>
      <c r="C47" s="149" t="s">
        <v>155</v>
      </c>
      <c r="D47" s="149"/>
      <c r="E47" s="149"/>
      <c r="F47" s="153" t="s">
        <v>114</v>
      </c>
      <c r="G47" s="153"/>
      <c r="H47" s="92"/>
      <c r="I47" s="92"/>
    </row>
    <row r="48" spans="2:14" ht="7.5" customHeight="1" x14ac:dyDescent="0.25">
      <c r="C48" s="3"/>
      <c r="D48" s="3"/>
      <c r="E48" s="131"/>
      <c r="F48" s="179"/>
      <c r="G48" s="179"/>
      <c r="H48" s="136"/>
      <c r="I48" s="136"/>
    </row>
  </sheetData>
  <mergeCells count="55">
    <mergeCell ref="B1:H1"/>
    <mergeCell ref="B2:H3"/>
    <mergeCell ref="B21:H21"/>
    <mergeCell ref="B22:B23"/>
    <mergeCell ref="C22:C23"/>
    <mergeCell ref="D22:D23"/>
    <mergeCell ref="E22:E23"/>
    <mergeCell ref="F22:G22"/>
    <mergeCell ref="H22:H23"/>
    <mergeCell ref="D5:E5"/>
    <mergeCell ref="B14:H14"/>
    <mergeCell ref="C15:D15"/>
    <mergeCell ref="E15:F15"/>
    <mergeCell ref="G15:H15"/>
    <mergeCell ref="C16:D16"/>
    <mergeCell ref="E16:F16"/>
    <mergeCell ref="E40:F40"/>
    <mergeCell ref="C36:D36"/>
    <mergeCell ref="C37:D37"/>
    <mergeCell ref="C38:D38"/>
    <mergeCell ref="E36:F36"/>
    <mergeCell ref="G38:H38"/>
    <mergeCell ref="G39:H39"/>
    <mergeCell ref="B35:H35"/>
    <mergeCell ref="G36:H36"/>
    <mergeCell ref="G37:H37"/>
    <mergeCell ref="E39:F39"/>
    <mergeCell ref="F47:G47"/>
    <mergeCell ref="F48:G48"/>
    <mergeCell ref="E37:F37"/>
    <mergeCell ref="F44:G44"/>
    <mergeCell ref="E38:F38"/>
    <mergeCell ref="F45:G45"/>
    <mergeCell ref="F42:G42"/>
    <mergeCell ref="F43:G43"/>
    <mergeCell ref="G40:H40"/>
    <mergeCell ref="F41:G41"/>
    <mergeCell ref="C41:E41"/>
    <mergeCell ref="C43:E43"/>
    <mergeCell ref="C45:E45"/>
    <mergeCell ref="C47:E47"/>
    <mergeCell ref="C39:D39"/>
    <mergeCell ref="C40:D40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M21:M22"/>
    <mergeCell ref="N21:N22"/>
  </mergeCells>
  <printOptions horizontalCentered="1"/>
  <pageMargins left="0.19685039370078741" right="0.19685039370078741" top="0.26" bottom="0.23622047244094491" header="0.16" footer="0.24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47"/>
  <sheetViews>
    <sheetView tabSelected="1" zoomScale="110" zoomScaleNormal="110" workbookViewId="0">
      <selection activeCell="H24" sqref="H24"/>
    </sheetView>
  </sheetViews>
  <sheetFormatPr defaultColWidth="9.140625" defaultRowHeight="15.75" outlineLevelRow="1" x14ac:dyDescent="0.25"/>
  <cols>
    <col min="1" max="1" width="2.7109375" style="3" customWidth="1"/>
    <col min="2" max="2" width="56" style="3" customWidth="1"/>
    <col min="3" max="3" width="21.85546875" style="136" customWidth="1"/>
    <col min="4" max="4" width="9" style="136" customWidth="1"/>
    <col min="5" max="5" width="11.140625" style="136" customWidth="1"/>
    <col min="6" max="6" width="10.140625" style="3" customWidth="1"/>
    <col min="7" max="7" width="10.28515625" style="3" customWidth="1"/>
    <col min="8" max="8" width="11" style="3" customWidth="1"/>
    <col min="9" max="9" width="12.28515625" style="3" customWidth="1"/>
    <col min="10" max="12" width="9.140625" style="3"/>
    <col min="13" max="13" width="17.140625" style="194" customWidth="1"/>
    <col min="14" max="14" width="15" style="194" customWidth="1"/>
    <col min="15" max="16384" width="9.140625" style="3"/>
  </cols>
  <sheetData>
    <row r="1" spans="1:9" x14ac:dyDescent="0.25">
      <c r="B1" s="161" t="s">
        <v>116</v>
      </c>
      <c r="C1" s="161"/>
      <c r="D1" s="161"/>
      <c r="E1" s="161"/>
      <c r="F1" s="161"/>
      <c r="G1" s="161"/>
      <c r="H1" s="161"/>
    </row>
    <row r="2" spans="1:9" ht="19.5" customHeight="1" x14ac:dyDescent="0.3">
      <c r="A2" s="14"/>
      <c r="B2" s="185" t="s">
        <v>162</v>
      </c>
      <c r="C2" s="185"/>
      <c r="D2" s="185"/>
      <c r="E2" s="185"/>
      <c r="F2" s="185"/>
      <c r="G2" s="185"/>
      <c r="H2" s="185"/>
    </row>
    <row r="3" spans="1:9" ht="20.25" customHeight="1" x14ac:dyDescent="0.3">
      <c r="A3" s="14"/>
      <c r="B3" s="185"/>
      <c r="C3" s="185"/>
      <c r="D3" s="185"/>
      <c r="E3" s="185"/>
      <c r="F3" s="185"/>
      <c r="G3" s="185"/>
      <c r="H3" s="185"/>
    </row>
    <row r="4" spans="1:9" ht="15" customHeight="1" x14ac:dyDescent="0.25"/>
    <row r="5" spans="1:9" x14ac:dyDescent="0.25">
      <c r="B5" s="3" t="s">
        <v>0</v>
      </c>
      <c r="D5" s="172" t="s">
        <v>83</v>
      </c>
      <c r="E5" s="172"/>
    </row>
    <row r="6" spans="1:9" x14ac:dyDescent="0.25">
      <c r="B6" s="3" t="s">
        <v>1</v>
      </c>
      <c r="D6" s="126">
        <v>1971</v>
      </c>
      <c r="E6" s="126"/>
    </row>
    <row r="7" spans="1:9" hidden="1" outlineLevel="1" x14ac:dyDescent="0.25">
      <c r="B7" s="3" t="s">
        <v>2</v>
      </c>
      <c r="D7" s="126">
        <v>2</v>
      </c>
      <c r="E7" s="126"/>
    </row>
    <row r="8" spans="1:9" hidden="1" outlineLevel="1" x14ac:dyDescent="0.25">
      <c r="B8" s="3" t="s">
        <v>3</v>
      </c>
      <c r="D8" s="126">
        <v>16</v>
      </c>
      <c r="E8" s="126"/>
    </row>
    <row r="9" spans="1:9" ht="30.75" hidden="1" customHeight="1" outlineLevel="1" x14ac:dyDescent="0.25">
      <c r="B9" s="17" t="s">
        <v>4</v>
      </c>
      <c r="C9" s="63"/>
      <c r="D9" s="126" t="s">
        <v>84</v>
      </c>
      <c r="E9" s="126"/>
    </row>
    <row r="10" spans="1:9" collapsed="1" x14ac:dyDescent="0.25">
      <c r="B10" s="3" t="s">
        <v>5</v>
      </c>
      <c r="D10" s="126" t="s">
        <v>147</v>
      </c>
      <c r="E10" s="126"/>
      <c r="I10" s="12"/>
    </row>
    <row r="11" spans="1:9" hidden="1" outlineLevel="1" x14ac:dyDescent="0.25">
      <c r="B11" s="3" t="s">
        <v>6</v>
      </c>
      <c r="D11" s="126" t="s">
        <v>7</v>
      </c>
      <c r="E11" s="126"/>
    </row>
    <row r="12" spans="1:9" ht="30.75" hidden="1" customHeight="1" outlineLevel="1" x14ac:dyDescent="0.25">
      <c r="B12" s="17" t="s">
        <v>8</v>
      </c>
      <c r="C12" s="63"/>
      <c r="D12" s="138" t="s">
        <v>85</v>
      </c>
      <c r="E12" s="126"/>
      <c r="I12" s="12"/>
    </row>
    <row r="13" spans="1:9" ht="16.5" collapsed="1" thickBot="1" x14ac:dyDescent="0.3">
      <c r="B13" s="188" t="s">
        <v>157</v>
      </c>
      <c r="C13" s="188"/>
      <c r="D13" s="188"/>
      <c r="E13" s="188"/>
      <c r="F13" s="188"/>
      <c r="G13" s="188"/>
      <c r="H13" s="188"/>
      <c r="I13" s="12"/>
    </row>
    <row r="14" spans="1:9" ht="39" customHeight="1" thickBot="1" x14ac:dyDescent="0.3">
      <c r="B14" s="110" t="s">
        <v>158</v>
      </c>
      <c r="C14" s="186" t="s">
        <v>113</v>
      </c>
      <c r="D14" s="187"/>
      <c r="E14" s="181" t="s">
        <v>10</v>
      </c>
      <c r="F14" s="189"/>
      <c r="G14" s="181" t="s">
        <v>11</v>
      </c>
      <c r="H14" s="182"/>
      <c r="I14" s="12"/>
    </row>
    <row r="15" spans="1:9" x14ac:dyDescent="0.25">
      <c r="B15" s="111" t="s">
        <v>12</v>
      </c>
      <c r="C15" s="139">
        <v>562386.14</v>
      </c>
      <c r="D15" s="175"/>
      <c r="E15" s="143">
        <v>446586.23</v>
      </c>
      <c r="F15" s="144"/>
      <c r="G15" s="143">
        <v>115799.91</v>
      </c>
      <c r="H15" s="145"/>
      <c r="I15" s="12"/>
    </row>
    <row r="16" spans="1:9" x14ac:dyDescent="0.25">
      <c r="B16" s="52" t="s">
        <v>13</v>
      </c>
      <c r="C16" s="141">
        <v>519042.78</v>
      </c>
      <c r="D16" s="173"/>
      <c r="E16" s="141">
        <v>412313.85000000003</v>
      </c>
      <c r="F16" s="142"/>
      <c r="G16" s="141">
        <v>106728.93</v>
      </c>
      <c r="H16" s="146"/>
      <c r="I16" s="12"/>
    </row>
    <row r="17" spans="2:14" ht="16.5" thickBot="1" x14ac:dyDescent="0.3">
      <c r="B17" s="54" t="s">
        <v>87</v>
      </c>
      <c r="C17" s="147">
        <v>570033.61700000009</v>
      </c>
      <c r="D17" s="174"/>
      <c r="E17" s="150">
        <v>457474.61700000003</v>
      </c>
      <c r="F17" s="151"/>
      <c r="G17" s="150">
        <v>112559</v>
      </c>
      <c r="H17" s="152"/>
      <c r="I17" s="12"/>
    </row>
    <row r="18" spans="2:14" ht="33" customHeight="1" thickBot="1" x14ac:dyDescent="0.3">
      <c r="B18" s="13" t="s">
        <v>149</v>
      </c>
      <c r="C18" s="156">
        <f>E18+G18</f>
        <v>-50990.837</v>
      </c>
      <c r="D18" s="157"/>
      <c r="E18" s="154">
        <f>E16-E17</f>
        <v>-45160.766999999993</v>
      </c>
      <c r="F18" s="155"/>
      <c r="G18" s="154">
        <f>G16-G17</f>
        <v>-5830.070000000007</v>
      </c>
      <c r="H18" s="158"/>
      <c r="I18" s="12"/>
    </row>
    <row r="19" spans="2:14" x14ac:dyDescent="0.25">
      <c r="B19" s="17"/>
      <c r="C19" s="63"/>
      <c r="D19" s="138"/>
      <c r="E19" s="126"/>
      <c r="I19" s="12"/>
    </row>
    <row r="20" spans="2:14" ht="16.5" customHeight="1" thickBot="1" x14ac:dyDescent="0.3">
      <c r="B20" s="193" t="s">
        <v>163</v>
      </c>
      <c r="C20" s="193"/>
      <c r="D20" s="193"/>
      <c r="E20" s="193"/>
      <c r="F20" s="193"/>
      <c r="G20" s="193"/>
      <c r="H20" s="193"/>
      <c r="L20" s="12"/>
      <c r="M20" s="195" t="s">
        <v>151</v>
      </c>
      <c r="N20" s="195" t="s">
        <v>152</v>
      </c>
    </row>
    <row r="21" spans="2:14" ht="34.5" customHeight="1" x14ac:dyDescent="0.25">
      <c r="B21" s="162" t="s">
        <v>101</v>
      </c>
      <c r="C21" s="164" t="s">
        <v>102</v>
      </c>
      <c r="D21" s="164" t="s">
        <v>103</v>
      </c>
      <c r="E21" s="166" t="s">
        <v>164</v>
      </c>
      <c r="F21" s="168" t="s">
        <v>104</v>
      </c>
      <c r="G21" s="169"/>
      <c r="H21" s="170" t="s">
        <v>123</v>
      </c>
      <c r="L21" s="12"/>
      <c r="M21" s="196"/>
      <c r="N21" s="196"/>
    </row>
    <row r="22" spans="2:14" ht="39.75" customHeight="1" thickBot="1" x14ac:dyDescent="0.3">
      <c r="B22" s="163"/>
      <c r="C22" s="165"/>
      <c r="D22" s="165"/>
      <c r="E22" s="167"/>
      <c r="F22" s="21" t="s">
        <v>92</v>
      </c>
      <c r="G22" s="22" t="s">
        <v>93</v>
      </c>
      <c r="H22" s="171"/>
      <c r="M22" s="197">
        <v>66337.84</v>
      </c>
      <c r="N22" s="197">
        <f>M22*1.01</f>
        <v>67001.218399999998</v>
      </c>
    </row>
    <row r="23" spans="2:14" ht="53.25" customHeight="1" x14ac:dyDescent="0.25">
      <c r="B23" s="23" t="s">
        <v>105</v>
      </c>
      <c r="C23" s="7" t="s">
        <v>121</v>
      </c>
      <c r="D23" s="24" t="s">
        <v>107</v>
      </c>
      <c r="E23" s="25">
        <v>1.06</v>
      </c>
      <c r="F23" s="26">
        <f>$M$22/$M$23*E23</f>
        <v>6404.1994899817855</v>
      </c>
      <c r="G23" s="27">
        <f>$N$22/$N$23*E23</f>
        <v>6468.2414848816034</v>
      </c>
      <c r="H23" s="28">
        <f>F23-G23</f>
        <v>-64.041994899817837</v>
      </c>
      <c r="I23" s="78"/>
      <c r="J23" s="134"/>
      <c r="K23" s="134"/>
      <c r="L23" s="31"/>
      <c r="M23" s="198">
        <f>E32-E30</f>
        <v>10.979999999999999</v>
      </c>
      <c r="N23" s="198">
        <f>E32-E30</f>
        <v>10.979999999999999</v>
      </c>
    </row>
    <row r="24" spans="2:14" ht="56.25" x14ac:dyDescent="0.25">
      <c r="B24" s="79" t="s">
        <v>99</v>
      </c>
      <c r="C24" s="7" t="s">
        <v>121</v>
      </c>
      <c r="D24" s="24" t="s">
        <v>107</v>
      </c>
      <c r="E24" s="8">
        <v>1.19</v>
      </c>
      <c r="F24" s="26">
        <f t="shared" ref="F24:F31" si="0">$M$22/$M$23*E24</f>
        <v>7189.6201821493623</v>
      </c>
      <c r="G24" s="27">
        <f t="shared" ref="G24:G28" si="1">$N$22/$N$23*E24</f>
        <v>7261.5163839708557</v>
      </c>
      <c r="H24" s="28">
        <f t="shared" ref="H24:H29" si="2">F24-G24</f>
        <v>-71.896201821493378</v>
      </c>
      <c r="I24" s="80"/>
      <c r="J24" s="2"/>
      <c r="K24" s="2"/>
      <c r="L24" s="2"/>
      <c r="M24" s="199"/>
      <c r="N24" s="199"/>
    </row>
    <row r="25" spans="2:14" ht="51.75" customHeight="1" x14ac:dyDescent="0.25">
      <c r="B25" s="33" t="s">
        <v>94</v>
      </c>
      <c r="C25" s="7" t="s">
        <v>121</v>
      </c>
      <c r="D25" s="24" t="s">
        <v>107</v>
      </c>
      <c r="E25" s="8">
        <v>0.32</v>
      </c>
      <c r="F25" s="26">
        <f t="shared" si="0"/>
        <v>1933.3432422586523</v>
      </c>
      <c r="G25" s="27">
        <f t="shared" si="1"/>
        <v>1952.6766746812386</v>
      </c>
      <c r="H25" s="28">
        <f t="shared" si="2"/>
        <v>-19.333432422586384</v>
      </c>
      <c r="I25" s="55"/>
      <c r="L25" s="12"/>
    </row>
    <row r="26" spans="2:14" ht="26.25" x14ac:dyDescent="0.25">
      <c r="B26" s="81" t="s">
        <v>108</v>
      </c>
      <c r="C26" s="34" t="s">
        <v>109</v>
      </c>
      <c r="D26" s="24" t="s">
        <v>107</v>
      </c>
      <c r="E26" s="8">
        <v>0.5</v>
      </c>
      <c r="F26" s="26">
        <f>($M$22/12*2)/$M$23*E26</f>
        <v>503.474802671524</v>
      </c>
      <c r="G26" s="27">
        <f>($N$22/112*2)/$N$23*E26</f>
        <v>54.483166146239924</v>
      </c>
      <c r="H26" s="28">
        <f t="shared" si="2"/>
        <v>448.99163652528409</v>
      </c>
      <c r="I26" s="55"/>
      <c r="L26" s="12"/>
    </row>
    <row r="27" spans="2:14" ht="51.75" x14ac:dyDescent="0.25">
      <c r="B27" s="79" t="s">
        <v>95</v>
      </c>
      <c r="C27" s="7" t="s">
        <v>122</v>
      </c>
      <c r="D27" s="24" t="s">
        <v>107</v>
      </c>
      <c r="E27" s="8">
        <v>1.18</v>
      </c>
      <c r="F27" s="26">
        <f t="shared" si="0"/>
        <v>7129.2032058287796</v>
      </c>
      <c r="G27" s="27">
        <f t="shared" si="1"/>
        <v>7200.4952378870676</v>
      </c>
      <c r="H27" s="28">
        <f t="shared" si="2"/>
        <v>-71.292032058287987</v>
      </c>
      <c r="I27" s="55"/>
    </row>
    <row r="28" spans="2:14" ht="214.5" customHeight="1" x14ac:dyDescent="0.25">
      <c r="B28" s="32" t="s">
        <v>119</v>
      </c>
      <c r="C28" s="35" t="s">
        <v>110</v>
      </c>
      <c r="D28" s="24" t="s">
        <v>107</v>
      </c>
      <c r="E28" s="8">
        <v>5.61</v>
      </c>
      <c r="F28" s="26">
        <f t="shared" si="0"/>
        <v>33893.923715846999</v>
      </c>
      <c r="G28" s="27">
        <f t="shared" si="1"/>
        <v>34232.862953005468</v>
      </c>
      <c r="H28" s="28">
        <f t="shared" si="2"/>
        <v>-338.93923715846904</v>
      </c>
      <c r="I28" s="80"/>
      <c r="J28" s="2"/>
      <c r="K28" s="2"/>
      <c r="L28" s="1"/>
      <c r="M28" s="199"/>
      <c r="N28" s="199"/>
    </row>
    <row r="29" spans="2:14" ht="107.25" customHeight="1" x14ac:dyDescent="0.25">
      <c r="B29" s="79" t="s">
        <v>111</v>
      </c>
      <c r="C29" s="7" t="s">
        <v>121</v>
      </c>
      <c r="D29" s="24" t="s">
        <v>107</v>
      </c>
      <c r="E29" s="8">
        <v>0.19</v>
      </c>
      <c r="F29" s="26">
        <f t="shared" si="0"/>
        <v>1147.9225500910748</v>
      </c>
      <c r="G29" s="27">
        <f t="shared" ref="G29" si="3">$N$22/$N$23*E29</f>
        <v>1159.4017755919854</v>
      </c>
      <c r="H29" s="28">
        <f t="shared" si="2"/>
        <v>-11.479225500910616</v>
      </c>
      <c r="I29" s="55"/>
    </row>
    <row r="30" spans="2:14" ht="56.25" x14ac:dyDescent="0.25">
      <c r="B30" s="33" t="s">
        <v>112</v>
      </c>
      <c r="C30" s="7" t="s">
        <v>121</v>
      </c>
      <c r="D30" s="24" t="s">
        <v>107</v>
      </c>
      <c r="E30" s="8">
        <v>3.19</v>
      </c>
      <c r="F30" s="26">
        <v>20726.52</v>
      </c>
      <c r="G30" s="5">
        <v>11649</v>
      </c>
      <c r="H30" s="28">
        <f>F30-G30</f>
        <v>9077.52</v>
      </c>
      <c r="I30" s="55"/>
      <c r="L30" s="12"/>
    </row>
    <row r="31" spans="2:14" ht="16.5" thickBot="1" x14ac:dyDescent="0.3">
      <c r="B31" s="82" t="s">
        <v>97</v>
      </c>
      <c r="C31" s="37" t="s">
        <v>110</v>
      </c>
      <c r="D31" s="38" t="s">
        <v>107</v>
      </c>
      <c r="E31" s="39">
        <f>0.66+0.27</f>
        <v>0.93</v>
      </c>
      <c r="F31" s="26">
        <f t="shared" si="0"/>
        <v>5618.7787978142078</v>
      </c>
      <c r="G31" s="27">
        <f t="shared" ref="G31" si="4">$N$22/$N$23*E31</f>
        <v>5674.9665857923501</v>
      </c>
      <c r="H31" s="40">
        <f>F31-G31</f>
        <v>-56.187787978142296</v>
      </c>
      <c r="I31" s="55"/>
    </row>
    <row r="32" spans="2:14" ht="16.5" thickBot="1" x14ac:dyDescent="0.3">
      <c r="B32" s="84" t="s">
        <v>98</v>
      </c>
      <c r="C32" s="42"/>
      <c r="D32" s="42"/>
      <c r="E32" s="43">
        <f>SUM(E23:E31)</f>
        <v>14.169999999999998</v>
      </c>
      <c r="F32" s="44">
        <f>SUM(F23:F31)</f>
        <v>84546.985986642394</v>
      </c>
      <c r="G32" s="45">
        <f>SUM(G23:G31)</f>
        <v>75653.644261956812</v>
      </c>
      <c r="H32" s="46">
        <f>SUM(H23:H31)</f>
        <v>8893.341724685577</v>
      </c>
      <c r="I32" s="124"/>
    </row>
    <row r="33" spans="2:14" x14ac:dyDescent="0.25">
      <c r="B33" s="12"/>
      <c r="C33" s="12"/>
      <c r="D33" s="12"/>
      <c r="E33" s="135"/>
      <c r="F33" s="135"/>
      <c r="G33" s="135"/>
      <c r="H33" s="136"/>
    </row>
    <row r="34" spans="2:14" ht="16.5" customHeight="1" thickBot="1" x14ac:dyDescent="0.3">
      <c r="B34" s="188" t="s">
        <v>165</v>
      </c>
      <c r="C34" s="188"/>
      <c r="D34" s="188"/>
      <c r="E34" s="188"/>
      <c r="F34" s="188"/>
      <c r="G34" s="188"/>
      <c r="H34" s="188"/>
      <c r="I34" s="88"/>
      <c r="J34" s="88"/>
    </row>
    <row r="35" spans="2:14" ht="44.25" customHeight="1" thickBot="1" x14ac:dyDescent="0.3">
      <c r="B35" s="110" t="s">
        <v>166</v>
      </c>
      <c r="C35" s="186" t="s">
        <v>113</v>
      </c>
      <c r="D35" s="187"/>
      <c r="E35" s="181" t="s">
        <v>10</v>
      </c>
      <c r="F35" s="189"/>
      <c r="G35" s="181" t="s">
        <v>11</v>
      </c>
      <c r="H35" s="182"/>
      <c r="I35" s="89"/>
      <c r="J35" s="93"/>
      <c r="K35" s="50"/>
      <c r="L35" s="51"/>
      <c r="M35" s="200"/>
      <c r="N35" s="200"/>
    </row>
    <row r="36" spans="2:14" x14ac:dyDescent="0.25">
      <c r="B36" s="111" t="s">
        <v>12</v>
      </c>
      <c r="C36" s="139">
        <f>E36+G36</f>
        <v>646933.12598664244</v>
      </c>
      <c r="D36" s="140"/>
      <c r="E36" s="143">
        <f>F23+F24+F25+F26+F27+F28+F29+F31+E15</f>
        <v>510406.69598664239</v>
      </c>
      <c r="F36" s="144"/>
      <c r="G36" s="143">
        <f>F30+G15</f>
        <v>136526.43</v>
      </c>
      <c r="H36" s="145"/>
      <c r="I36" s="91"/>
      <c r="J36" s="94"/>
      <c r="K36" s="9"/>
      <c r="L36" s="9"/>
      <c r="M36" s="201"/>
    </row>
    <row r="37" spans="2:14" x14ac:dyDescent="0.25">
      <c r="B37" s="52" t="s">
        <v>13</v>
      </c>
      <c r="C37" s="141">
        <f>E37+G37</f>
        <v>622547.45000000007</v>
      </c>
      <c r="D37" s="142"/>
      <c r="E37" s="141">
        <f>E16+78864.38</f>
        <v>491178.23000000004</v>
      </c>
      <c r="F37" s="142"/>
      <c r="G37" s="141">
        <f>G16+24640.29</f>
        <v>131369.22</v>
      </c>
      <c r="H37" s="146"/>
      <c r="I37" s="91"/>
      <c r="J37" s="94"/>
      <c r="K37" s="11"/>
      <c r="L37" s="9"/>
      <c r="M37" s="201"/>
    </row>
    <row r="38" spans="2:14" ht="16.5" thickBot="1" x14ac:dyDescent="0.3">
      <c r="B38" s="54" t="s">
        <v>87</v>
      </c>
      <c r="C38" s="147">
        <f>E38+G38</f>
        <v>645687.26126195677</v>
      </c>
      <c r="D38" s="148"/>
      <c r="E38" s="150">
        <f>G23+G24+G25+G26+G27+G28+G29+G31+E17</f>
        <v>521479.26126195682</v>
      </c>
      <c r="F38" s="151"/>
      <c r="G38" s="150">
        <f>G30+G17</f>
        <v>124208</v>
      </c>
      <c r="H38" s="152"/>
      <c r="I38" s="91"/>
      <c r="J38" s="94"/>
      <c r="K38" s="55"/>
      <c r="L38" s="55"/>
    </row>
    <row r="39" spans="2:14" ht="36.75" thickBot="1" x14ac:dyDescent="0.3">
      <c r="B39" s="13" t="s">
        <v>150</v>
      </c>
      <c r="C39" s="156">
        <f>E39+G39</f>
        <v>-23139.811261956784</v>
      </c>
      <c r="D39" s="157"/>
      <c r="E39" s="154">
        <f>E37-E38</f>
        <v>-30301.031261956785</v>
      </c>
      <c r="F39" s="155"/>
      <c r="G39" s="154">
        <f>G37-G38</f>
        <v>7161.2200000000012</v>
      </c>
      <c r="H39" s="158"/>
      <c r="I39" s="91"/>
      <c r="J39" s="94"/>
      <c r="K39" s="55"/>
      <c r="L39" s="55"/>
    </row>
    <row r="40" spans="2:14" ht="29.25" customHeight="1" x14ac:dyDescent="0.25">
      <c r="B40" s="128" t="s">
        <v>88</v>
      </c>
      <c r="C40" s="149" t="s">
        <v>155</v>
      </c>
      <c r="D40" s="149"/>
      <c r="E40" s="149"/>
      <c r="F40" s="153" t="s">
        <v>14</v>
      </c>
      <c r="G40" s="153"/>
      <c r="H40" s="92"/>
      <c r="I40" s="92"/>
      <c r="J40" s="2"/>
      <c r="K40" s="2"/>
      <c r="L40" s="2"/>
      <c r="M40" s="199"/>
      <c r="N40" s="199"/>
    </row>
    <row r="41" spans="2:14" ht="9.75" customHeight="1" x14ac:dyDescent="0.25">
      <c r="B41" s="128"/>
      <c r="C41" s="128"/>
      <c r="D41" s="128"/>
      <c r="E41" s="127"/>
      <c r="F41" s="160"/>
      <c r="G41" s="160"/>
      <c r="H41" s="92"/>
      <c r="I41" s="92"/>
      <c r="J41" s="2"/>
      <c r="K41" s="2"/>
      <c r="L41" s="2"/>
      <c r="M41" s="199"/>
      <c r="N41" s="199"/>
    </row>
    <row r="42" spans="2:14" x14ac:dyDescent="0.25">
      <c r="B42" s="128" t="s">
        <v>89</v>
      </c>
      <c r="C42" s="149" t="s">
        <v>155</v>
      </c>
      <c r="D42" s="149"/>
      <c r="E42" s="149"/>
      <c r="F42" s="153" t="s">
        <v>100</v>
      </c>
      <c r="G42" s="153"/>
      <c r="H42" s="92"/>
      <c r="I42" s="92"/>
      <c r="J42" s="2"/>
      <c r="K42" s="2"/>
      <c r="L42" s="2"/>
      <c r="M42" s="199"/>
      <c r="N42" s="199"/>
    </row>
    <row r="43" spans="2:14" ht="6.75" customHeight="1" x14ac:dyDescent="0.25">
      <c r="B43" s="128"/>
      <c r="C43" s="128"/>
      <c r="D43" s="128"/>
      <c r="E43" s="127"/>
      <c r="F43" s="153"/>
      <c r="G43" s="153"/>
      <c r="H43" s="92"/>
      <c r="I43" s="92"/>
    </row>
    <row r="44" spans="2:14" x14ac:dyDescent="0.25">
      <c r="B44" s="128" t="s">
        <v>90</v>
      </c>
      <c r="C44" s="149" t="s">
        <v>155</v>
      </c>
      <c r="D44" s="149"/>
      <c r="E44" s="149"/>
      <c r="F44" s="153" t="s">
        <v>114</v>
      </c>
      <c r="G44" s="153"/>
      <c r="H44" s="92"/>
      <c r="I44" s="92"/>
    </row>
    <row r="45" spans="2:14" ht="9.75" customHeight="1" x14ac:dyDescent="0.25">
      <c r="B45" s="56"/>
      <c r="C45" s="56"/>
      <c r="D45" s="56"/>
      <c r="E45" s="127"/>
      <c r="F45" s="57"/>
      <c r="G45" s="58"/>
      <c r="H45" s="59"/>
      <c r="I45" s="10"/>
    </row>
    <row r="46" spans="2:14" x14ac:dyDescent="0.25">
      <c r="B46" s="128" t="s">
        <v>91</v>
      </c>
      <c r="C46" s="149" t="s">
        <v>155</v>
      </c>
      <c r="D46" s="149"/>
      <c r="E46" s="149"/>
      <c r="F46" s="153" t="s">
        <v>114</v>
      </c>
      <c r="G46" s="153"/>
      <c r="H46" s="92"/>
      <c r="I46" s="92"/>
    </row>
    <row r="47" spans="2:14" ht="7.5" customHeight="1" x14ac:dyDescent="0.25">
      <c r="C47" s="3"/>
      <c r="D47" s="3"/>
      <c r="E47" s="131"/>
      <c r="F47" s="179"/>
      <c r="G47" s="179"/>
      <c r="H47" s="136"/>
      <c r="I47" s="136"/>
    </row>
  </sheetData>
  <mergeCells count="55">
    <mergeCell ref="B1:H1"/>
    <mergeCell ref="B2:H3"/>
    <mergeCell ref="B20:H20"/>
    <mergeCell ref="B21:B22"/>
    <mergeCell ref="C21:C22"/>
    <mergeCell ref="D21:D22"/>
    <mergeCell ref="E21:E22"/>
    <mergeCell ref="F21:G21"/>
    <mergeCell ref="H21:H22"/>
    <mergeCell ref="D5:E5"/>
    <mergeCell ref="B13:H13"/>
    <mergeCell ref="C14:D14"/>
    <mergeCell ref="E14:F14"/>
    <mergeCell ref="G14:H14"/>
    <mergeCell ref="C15:D15"/>
    <mergeCell ref="E15:F15"/>
    <mergeCell ref="E39:F39"/>
    <mergeCell ref="C35:D35"/>
    <mergeCell ref="C36:D36"/>
    <mergeCell ref="C37:D37"/>
    <mergeCell ref="E35:F35"/>
    <mergeCell ref="G37:H37"/>
    <mergeCell ref="G38:H38"/>
    <mergeCell ref="B34:H34"/>
    <mergeCell ref="G35:H35"/>
    <mergeCell ref="G36:H36"/>
    <mergeCell ref="E38:F38"/>
    <mergeCell ref="F46:G46"/>
    <mergeCell ref="F47:G47"/>
    <mergeCell ref="E36:F36"/>
    <mergeCell ref="F43:G43"/>
    <mergeCell ref="E37:F37"/>
    <mergeCell ref="F44:G44"/>
    <mergeCell ref="F41:G41"/>
    <mergeCell ref="F42:G42"/>
    <mergeCell ref="G39:H39"/>
    <mergeCell ref="F40:G40"/>
    <mergeCell ref="C40:E40"/>
    <mergeCell ref="C42:E42"/>
    <mergeCell ref="C44:E44"/>
    <mergeCell ref="C46:E46"/>
    <mergeCell ref="C38:D38"/>
    <mergeCell ref="C39:D39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M20:M21"/>
    <mergeCell ref="N20:N21"/>
  </mergeCells>
  <printOptions horizontalCentered="1"/>
  <pageMargins left="0.19685039370078741" right="0.19685039370078741" top="0.16" bottom="0.23622047244094491" header="0.16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51"/>
  <sheetViews>
    <sheetView topLeftCell="A19" zoomScale="110" zoomScaleNormal="110" workbookViewId="0">
      <selection activeCell="M19" sqref="M1:N1048576"/>
    </sheetView>
  </sheetViews>
  <sheetFormatPr defaultColWidth="9.140625" defaultRowHeight="15.75" outlineLevelRow="1" x14ac:dyDescent="0.25"/>
  <cols>
    <col min="1" max="1" width="2.85546875" style="3" customWidth="1"/>
    <col min="2" max="2" width="56.5703125" style="3" customWidth="1"/>
    <col min="3" max="3" width="23" style="136" customWidth="1"/>
    <col min="4" max="4" width="8.85546875" style="136" customWidth="1"/>
    <col min="5" max="5" width="10.28515625" style="136" customWidth="1"/>
    <col min="6" max="6" width="9.85546875" style="3" customWidth="1"/>
    <col min="7" max="7" width="10.42578125" style="3" customWidth="1"/>
    <col min="8" max="8" width="10.7109375" style="3" customWidth="1"/>
    <col min="9" max="9" width="11.140625" style="3" bestFit="1" customWidth="1"/>
    <col min="10" max="12" width="9.140625" style="3"/>
    <col min="13" max="13" width="14.5703125" style="194" customWidth="1"/>
    <col min="14" max="14" width="15.42578125" style="194" customWidth="1"/>
    <col min="15" max="15" width="12.7109375" style="3" customWidth="1"/>
    <col min="16" max="16384" width="9.140625" style="3"/>
  </cols>
  <sheetData>
    <row r="1" spans="2:9" x14ac:dyDescent="0.25">
      <c r="B1" s="161" t="s">
        <v>116</v>
      </c>
      <c r="C1" s="161"/>
      <c r="D1" s="161"/>
      <c r="E1" s="161"/>
      <c r="F1" s="161"/>
      <c r="G1" s="161"/>
      <c r="H1" s="161"/>
    </row>
    <row r="2" spans="2:9" ht="19.5" customHeight="1" x14ac:dyDescent="0.25">
      <c r="B2" s="185" t="s">
        <v>162</v>
      </c>
      <c r="C2" s="185"/>
      <c r="D2" s="185"/>
      <c r="E2" s="185"/>
      <c r="F2" s="185"/>
      <c r="G2" s="185"/>
      <c r="H2" s="185"/>
    </row>
    <row r="3" spans="2:9" ht="20.25" customHeight="1" x14ac:dyDescent="0.25">
      <c r="B3" s="185"/>
      <c r="C3" s="185"/>
      <c r="D3" s="185"/>
      <c r="E3" s="185"/>
      <c r="F3" s="185"/>
      <c r="G3" s="185"/>
      <c r="H3" s="185"/>
    </row>
    <row r="4" spans="2:9" ht="14.25" customHeight="1" x14ac:dyDescent="0.25"/>
    <row r="5" spans="2:9" x14ac:dyDescent="0.25">
      <c r="B5" s="3" t="s">
        <v>0</v>
      </c>
      <c r="D5" s="172" t="s">
        <v>18</v>
      </c>
      <c r="E5" s="172"/>
    </row>
    <row r="6" spans="2:9" x14ac:dyDescent="0.25">
      <c r="B6" s="3" t="s">
        <v>1</v>
      </c>
      <c r="D6" s="126">
        <v>1977</v>
      </c>
      <c r="E6" s="126"/>
    </row>
    <row r="7" spans="2:9" hidden="1" outlineLevel="1" x14ac:dyDescent="0.25">
      <c r="B7" s="3" t="s">
        <v>2</v>
      </c>
      <c r="D7" s="126">
        <v>2</v>
      </c>
      <c r="E7" s="126"/>
    </row>
    <row r="8" spans="2:9" hidden="1" outlineLevel="1" x14ac:dyDescent="0.25">
      <c r="B8" s="3" t="s">
        <v>3</v>
      </c>
      <c r="D8" s="126">
        <v>18</v>
      </c>
      <c r="E8" s="126"/>
    </row>
    <row r="9" spans="2:9" ht="30.75" hidden="1" customHeight="1" outlineLevel="1" x14ac:dyDescent="0.25">
      <c r="B9" s="17" t="s">
        <v>4</v>
      </c>
      <c r="C9" s="63"/>
      <c r="D9" s="126" t="s">
        <v>19</v>
      </c>
      <c r="E9" s="126"/>
    </row>
    <row r="10" spans="2:9" collapsed="1" x14ac:dyDescent="0.25">
      <c r="B10" s="3" t="s">
        <v>5</v>
      </c>
      <c r="D10" s="126" t="s">
        <v>126</v>
      </c>
      <c r="E10" s="126"/>
      <c r="I10" s="12"/>
    </row>
    <row r="11" spans="2:9" hidden="1" outlineLevel="1" x14ac:dyDescent="0.25">
      <c r="B11" s="3" t="s">
        <v>6</v>
      </c>
      <c r="D11" s="126" t="s">
        <v>7</v>
      </c>
      <c r="E11" s="126"/>
    </row>
    <row r="12" spans="2:9" ht="30.75" hidden="1" customHeight="1" outlineLevel="1" x14ac:dyDescent="0.25">
      <c r="B12" s="17" t="s">
        <v>8</v>
      </c>
      <c r="C12" s="63"/>
      <c r="D12" s="138" t="s">
        <v>20</v>
      </c>
      <c r="E12" s="126"/>
      <c r="I12" s="12"/>
    </row>
    <row r="13" spans="2:9" ht="7.5" customHeight="1" collapsed="1" x14ac:dyDescent="0.25">
      <c r="B13" s="17"/>
      <c r="C13" s="63"/>
      <c r="D13" s="138"/>
      <c r="E13" s="126"/>
      <c r="I13" s="12"/>
    </row>
    <row r="14" spans="2:9" ht="16.5" thickBot="1" x14ac:dyDescent="0.3">
      <c r="B14" s="188" t="s">
        <v>157</v>
      </c>
      <c r="C14" s="188"/>
      <c r="D14" s="188"/>
      <c r="E14" s="188"/>
      <c r="F14" s="188"/>
      <c r="G14" s="188"/>
      <c r="H14" s="188"/>
      <c r="I14" s="12"/>
    </row>
    <row r="15" spans="2:9" ht="49.5" customHeight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  <c r="I15" s="12"/>
    </row>
    <row r="16" spans="2:9" x14ac:dyDescent="0.25">
      <c r="B16" s="111" t="s">
        <v>12</v>
      </c>
      <c r="C16" s="139">
        <v>847201.5</v>
      </c>
      <c r="D16" s="175"/>
      <c r="E16" s="143">
        <v>644945.52</v>
      </c>
      <c r="F16" s="144"/>
      <c r="G16" s="143">
        <v>202255.98</v>
      </c>
      <c r="H16" s="145"/>
      <c r="I16" s="12"/>
    </row>
    <row r="17" spans="2:14" x14ac:dyDescent="0.25">
      <c r="B17" s="52" t="s">
        <v>13</v>
      </c>
      <c r="C17" s="141">
        <v>807541.01</v>
      </c>
      <c r="D17" s="173"/>
      <c r="E17" s="141">
        <v>614158.54</v>
      </c>
      <c r="F17" s="142"/>
      <c r="G17" s="141">
        <v>193382.47</v>
      </c>
      <c r="H17" s="146"/>
      <c r="I17" s="12"/>
    </row>
    <row r="18" spans="2:14" x14ac:dyDescent="0.25">
      <c r="B18" s="54" t="s">
        <v>87</v>
      </c>
      <c r="C18" s="141">
        <v>901516.17</v>
      </c>
      <c r="D18" s="173"/>
      <c r="E18" s="150">
        <v>640536.17000000004</v>
      </c>
      <c r="F18" s="151"/>
      <c r="G18" s="150">
        <v>260980</v>
      </c>
      <c r="H18" s="152"/>
      <c r="I18" s="12"/>
    </row>
    <row r="19" spans="2:14" ht="16.5" thickBot="1" x14ac:dyDescent="0.3">
      <c r="B19" s="64" t="s">
        <v>148</v>
      </c>
      <c r="C19" s="147">
        <v>7200</v>
      </c>
      <c r="D19" s="174"/>
      <c r="E19" s="147">
        <v>7200</v>
      </c>
      <c r="F19" s="148"/>
      <c r="G19" s="147">
        <v>0</v>
      </c>
      <c r="H19" s="176"/>
      <c r="I19" s="12"/>
    </row>
    <row r="20" spans="2:14" ht="28.5" customHeight="1" thickBot="1" x14ac:dyDescent="0.3">
      <c r="B20" s="13" t="s">
        <v>149</v>
      </c>
      <c r="C20" s="156">
        <f>E20+G20</f>
        <v>-86775.16</v>
      </c>
      <c r="D20" s="157"/>
      <c r="E20" s="154">
        <f>E17+E19-E18</f>
        <v>-19177.630000000005</v>
      </c>
      <c r="F20" s="155"/>
      <c r="G20" s="154">
        <f>G17-G18</f>
        <v>-67597.53</v>
      </c>
      <c r="H20" s="158"/>
      <c r="I20" s="12"/>
    </row>
    <row r="21" spans="2:14" x14ac:dyDescent="0.25">
      <c r="B21" s="17"/>
      <c r="C21" s="63"/>
      <c r="D21" s="138"/>
      <c r="E21" s="126"/>
      <c r="I21" s="12"/>
    </row>
    <row r="22" spans="2:14" ht="21.75" customHeight="1" thickBot="1" x14ac:dyDescent="0.3">
      <c r="B22" s="193" t="s">
        <v>163</v>
      </c>
      <c r="C22" s="193"/>
      <c r="D22" s="193"/>
      <c r="E22" s="193"/>
      <c r="F22" s="193"/>
      <c r="G22" s="193"/>
      <c r="H22" s="193"/>
      <c r="I22" s="19"/>
      <c r="J22" s="19"/>
      <c r="L22" s="12"/>
      <c r="M22" s="195" t="s">
        <v>151</v>
      </c>
      <c r="N22" s="195" t="s">
        <v>152</v>
      </c>
    </row>
    <row r="23" spans="2:14" ht="27.75" customHeight="1" x14ac:dyDescent="0.25">
      <c r="B23" s="162" t="s">
        <v>101</v>
      </c>
      <c r="C23" s="164" t="s">
        <v>102</v>
      </c>
      <c r="D23" s="164" t="s">
        <v>103</v>
      </c>
      <c r="E23" s="166" t="s">
        <v>167</v>
      </c>
      <c r="F23" s="168" t="s">
        <v>104</v>
      </c>
      <c r="G23" s="169"/>
      <c r="H23" s="170" t="s">
        <v>123</v>
      </c>
      <c r="I23" s="20"/>
      <c r="J23" s="20"/>
      <c r="L23" s="12"/>
      <c r="M23" s="196"/>
      <c r="N23" s="196"/>
    </row>
    <row r="24" spans="2:14" ht="45" customHeight="1" thickBot="1" x14ac:dyDescent="0.3">
      <c r="B24" s="163"/>
      <c r="C24" s="165"/>
      <c r="D24" s="165"/>
      <c r="E24" s="167"/>
      <c r="F24" s="21" t="s">
        <v>92</v>
      </c>
      <c r="G24" s="22" t="s">
        <v>93</v>
      </c>
      <c r="H24" s="171"/>
      <c r="I24" s="20"/>
      <c r="J24" s="20"/>
      <c r="M24" s="197">
        <v>107832.82</v>
      </c>
      <c r="N24" s="197">
        <f>107832.82*1.01</f>
        <v>108911.14820000001</v>
      </c>
    </row>
    <row r="25" spans="2:14" ht="50.25" customHeight="1" x14ac:dyDescent="0.25">
      <c r="B25" s="23" t="s">
        <v>105</v>
      </c>
      <c r="C25" s="7" t="s">
        <v>121</v>
      </c>
      <c r="D25" s="24" t="s">
        <v>107</v>
      </c>
      <c r="E25" s="25">
        <v>1.06</v>
      </c>
      <c r="F25" s="26">
        <f>$M$24/$M$25*E25</f>
        <v>10844.666907020875</v>
      </c>
      <c r="G25" s="27">
        <f>$N$24/$N$25*E25</f>
        <v>10953.113576091084</v>
      </c>
      <c r="H25" s="28">
        <f>F25-G25</f>
        <v>-108.44666907020837</v>
      </c>
      <c r="I25" s="29"/>
      <c r="J25" s="29"/>
      <c r="K25" s="134"/>
      <c r="L25" s="31"/>
      <c r="M25" s="198">
        <f>E34-E32</f>
        <v>10.54</v>
      </c>
      <c r="N25" s="198">
        <f>E34-E32</f>
        <v>10.54</v>
      </c>
    </row>
    <row r="26" spans="2:14" ht="51" x14ac:dyDescent="0.25">
      <c r="B26" s="32" t="s">
        <v>99</v>
      </c>
      <c r="C26" s="7" t="s">
        <v>121</v>
      </c>
      <c r="D26" s="24" t="s">
        <v>107</v>
      </c>
      <c r="E26" s="8">
        <v>1.19</v>
      </c>
      <c r="F26" s="26">
        <f>$M$24/$M$25*E26</f>
        <v>12174.673225806453</v>
      </c>
      <c r="G26" s="27">
        <f>$N$24/$N$25*E26</f>
        <v>12296.419958064518</v>
      </c>
      <c r="H26" s="28">
        <f t="shared" ref="H26:H30" si="0">F26-G26</f>
        <v>-121.74673225806509</v>
      </c>
      <c r="I26" s="29"/>
      <c r="J26" s="29"/>
      <c r="K26" s="2"/>
      <c r="L26" s="2"/>
      <c r="M26" s="199"/>
      <c r="N26" s="199"/>
    </row>
    <row r="27" spans="2:14" ht="52.5" customHeight="1" x14ac:dyDescent="0.25">
      <c r="B27" s="33" t="s">
        <v>94</v>
      </c>
      <c r="C27" s="7" t="s">
        <v>121</v>
      </c>
      <c r="D27" s="24" t="s">
        <v>107</v>
      </c>
      <c r="E27" s="8">
        <v>0.32</v>
      </c>
      <c r="F27" s="26">
        <f t="shared" ref="F27:F33" si="1">$M$24/$M$25*E27</f>
        <v>3273.8617077798867</v>
      </c>
      <c r="G27" s="27">
        <f t="shared" ref="G27:G30" si="2">$N$24/$N$25*E27</f>
        <v>3306.6003248576853</v>
      </c>
      <c r="H27" s="28">
        <f t="shared" si="0"/>
        <v>-32.738617077798608</v>
      </c>
      <c r="I27" s="29"/>
      <c r="J27" s="29"/>
      <c r="L27" s="12"/>
    </row>
    <row r="28" spans="2:14" ht="25.5" x14ac:dyDescent="0.25">
      <c r="B28" s="33" t="s">
        <v>108</v>
      </c>
      <c r="C28" s="34" t="s">
        <v>109</v>
      </c>
      <c r="D28" s="24" t="s">
        <v>107</v>
      </c>
      <c r="E28" s="8">
        <v>0</v>
      </c>
      <c r="F28" s="26">
        <f t="shared" si="1"/>
        <v>0</v>
      </c>
      <c r="G28" s="27">
        <f t="shared" si="2"/>
        <v>0</v>
      </c>
      <c r="H28" s="28">
        <f t="shared" si="0"/>
        <v>0</v>
      </c>
      <c r="I28" s="29"/>
      <c r="J28" s="29"/>
      <c r="L28" s="12"/>
    </row>
    <row r="29" spans="2:14" ht="51" x14ac:dyDescent="0.25">
      <c r="B29" s="32" t="s">
        <v>95</v>
      </c>
      <c r="C29" s="7" t="s">
        <v>122</v>
      </c>
      <c r="D29" s="24" t="s">
        <v>107</v>
      </c>
      <c r="E29" s="8">
        <v>1.18</v>
      </c>
      <c r="F29" s="26">
        <f t="shared" si="1"/>
        <v>12072.365047438332</v>
      </c>
      <c r="G29" s="27">
        <f t="shared" si="2"/>
        <v>12193.088697912715</v>
      </c>
      <c r="H29" s="28">
        <f t="shared" si="0"/>
        <v>-120.72365047438325</v>
      </c>
      <c r="I29" s="29"/>
      <c r="J29" s="29"/>
    </row>
    <row r="30" spans="2:14" ht="228.75" customHeight="1" x14ac:dyDescent="0.25">
      <c r="B30" s="32" t="s">
        <v>119</v>
      </c>
      <c r="C30" s="35" t="s">
        <v>110</v>
      </c>
      <c r="D30" s="24" t="s">
        <v>107</v>
      </c>
      <c r="E30" s="8">
        <v>5.61</v>
      </c>
      <c r="F30" s="26">
        <f t="shared" si="1"/>
        <v>57394.888064516141</v>
      </c>
      <c r="G30" s="27">
        <f t="shared" si="2"/>
        <v>57968.836945161303</v>
      </c>
      <c r="H30" s="28">
        <f t="shared" si="0"/>
        <v>-573.94888064516272</v>
      </c>
      <c r="I30" s="29"/>
      <c r="J30" s="29"/>
      <c r="K30" s="2"/>
      <c r="L30" s="1"/>
      <c r="M30" s="199"/>
      <c r="N30" s="199"/>
    </row>
    <row r="31" spans="2:14" ht="123" customHeight="1" x14ac:dyDescent="0.25">
      <c r="B31" s="32" t="s">
        <v>111</v>
      </c>
      <c r="C31" s="7" t="s">
        <v>121</v>
      </c>
      <c r="D31" s="24" t="s">
        <v>107</v>
      </c>
      <c r="E31" s="8">
        <v>0.24</v>
      </c>
      <c r="F31" s="26">
        <f t="shared" si="1"/>
        <v>2455.3962808349152</v>
      </c>
      <c r="G31" s="27">
        <f t="shared" ref="G31" si="3">$N$24/$N$25*E31</f>
        <v>2479.950243643264</v>
      </c>
      <c r="H31" s="28">
        <f>F31-G31</f>
        <v>-24.553962808348842</v>
      </c>
      <c r="I31" s="29"/>
      <c r="J31" s="29"/>
    </row>
    <row r="32" spans="2:14" ht="45" x14ac:dyDescent="0.25">
      <c r="B32" s="36" t="s">
        <v>112</v>
      </c>
      <c r="C32" s="7" t="s">
        <v>121</v>
      </c>
      <c r="D32" s="38" t="s">
        <v>107</v>
      </c>
      <c r="E32" s="39">
        <v>3.72</v>
      </c>
      <c r="F32" s="26">
        <v>39097.279999999999</v>
      </c>
      <c r="G32" s="5">
        <v>2318</v>
      </c>
      <c r="H32" s="40">
        <f>F32-G32</f>
        <v>36779.279999999999</v>
      </c>
      <c r="I32" s="29"/>
      <c r="J32" s="29"/>
      <c r="L32" s="12"/>
    </row>
    <row r="33" spans="2:14" ht="16.5" thickBot="1" x14ac:dyDescent="0.3">
      <c r="B33" s="64" t="s">
        <v>97</v>
      </c>
      <c r="C33" s="65" t="s">
        <v>110</v>
      </c>
      <c r="D33" s="66" t="s">
        <v>107</v>
      </c>
      <c r="E33" s="118">
        <f>0.66+0.28</f>
        <v>0.94000000000000006</v>
      </c>
      <c r="F33" s="95">
        <f t="shared" si="1"/>
        <v>9616.9687666034188</v>
      </c>
      <c r="G33" s="27">
        <f t="shared" ref="G33" si="4">$N$24/$N$25*E33</f>
        <v>9713.1384542694523</v>
      </c>
      <c r="H33" s="67">
        <f>F33-G33</f>
        <v>-96.169687666033496</v>
      </c>
      <c r="I33" s="29"/>
      <c r="J33" s="29"/>
    </row>
    <row r="34" spans="2:14" ht="16.5" thickBot="1" x14ac:dyDescent="0.3">
      <c r="B34" s="41" t="s">
        <v>98</v>
      </c>
      <c r="C34" s="42"/>
      <c r="D34" s="42"/>
      <c r="E34" s="43">
        <f>SUM(E25:E33)</f>
        <v>14.26</v>
      </c>
      <c r="F34" s="44">
        <f>SUM(F25:F33)</f>
        <v>146930.1</v>
      </c>
      <c r="G34" s="45">
        <f>SUM(G25:G33)</f>
        <v>111229.14820000003</v>
      </c>
      <c r="H34" s="46">
        <f>SUM(H25:H33)</f>
        <v>35700.951799999995</v>
      </c>
      <c r="I34" s="47"/>
      <c r="J34" s="47"/>
    </row>
    <row r="35" spans="2:14" x14ac:dyDescent="0.25">
      <c r="B35" s="12"/>
      <c r="C35" s="12"/>
      <c r="D35" s="12"/>
      <c r="E35" s="135"/>
      <c r="F35" s="135"/>
      <c r="G35" s="135"/>
      <c r="H35" s="136"/>
      <c r="I35" s="136"/>
      <c r="J35" s="136"/>
    </row>
    <row r="36" spans="2:14" ht="16.5" customHeight="1" thickBot="1" x14ac:dyDescent="0.3">
      <c r="B36" s="188" t="s">
        <v>165</v>
      </c>
      <c r="C36" s="188"/>
      <c r="D36" s="188"/>
      <c r="E36" s="188"/>
      <c r="F36" s="188"/>
      <c r="G36" s="188"/>
      <c r="H36" s="188"/>
      <c r="I36" s="48"/>
      <c r="J36" s="48"/>
    </row>
    <row r="37" spans="2:14" ht="44.25" customHeight="1" thickBot="1" x14ac:dyDescent="0.3">
      <c r="B37" s="110" t="s">
        <v>166</v>
      </c>
      <c r="C37" s="186" t="s">
        <v>113</v>
      </c>
      <c r="D37" s="187"/>
      <c r="E37" s="181" t="s">
        <v>10</v>
      </c>
      <c r="F37" s="189"/>
      <c r="G37" s="181" t="s">
        <v>11</v>
      </c>
      <c r="H37" s="182"/>
      <c r="I37" s="49"/>
      <c r="J37" s="49"/>
      <c r="K37" s="50"/>
      <c r="L37" s="51"/>
      <c r="M37" s="200"/>
      <c r="N37" s="200"/>
    </row>
    <row r="38" spans="2:14" x14ac:dyDescent="0.25">
      <c r="B38" s="111" t="s">
        <v>12</v>
      </c>
      <c r="C38" s="139">
        <f>E38+G38</f>
        <v>994131.60000000009</v>
      </c>
      <c r="D38" s="140"/>
      <c r="E38" s="143">
        <f>F25+F26+F27+F28+F29+F30+F31+F33+E16</f>
        <v>752778.34000000008</v>
      </c>
      <c r="F38" s="144"/>
      <c r="G38" s="143">
        <f>F32+G16</f>
        <v>241353.26</v>
      </c>
      <c r="H38" s="145"/>
      <c r="I38" s="53"/>
      <c r="J38" s="53"/>
      <c r="K38" s="9"/>
      <c r="L38" s="9"/>
      <c r="M38" s="201"/>
    </row>
    <row r="39" spans="2:14" x14ac:dyDescent="0.25">
      <c r="B39" s="52" t="s">
        <v>13</v>
      </c>
      <c r="C39" s="141">
        <f>E39+G39</f>
        <v>948984.98</v>
      </c>
      <c r="D39" s="142"/>
      <c r="E39" s="141">
        <f>E17+103806.52</f>
        <v>717965.06</v>
      </c>
      <c r="F39" s="142"/>
      <c r="G39" s="141">
        <f>G17+37637.45</f>
        <v>231019.91999999998</v>
      </c>
      <c r="H39" s="146"/>
      <c r="I39" s="53"/>
      <c r="J39" s="53"/>
      <c r="K39" s="11"/>
      <c r="L39" s="9"/>
      <c r="M39" s="201"/>
    </row>
    <row r="40" spans="2:14" x14ac:dyDescent="0.25">
      <c r="B40" s="54" t="s">
        <v>87</v>
      </c>
      <c r="C40" s="141">
        <f>E40+G40</f>
        <v>1012745.3182000001</v>
      </c>
      <c r="D40" s="142"/>
      <c r="E40" s="150">
        <f>G25+G26+G27+G28+G29+G30+G31+G33+E18</f>
        <v>749447.3182000001</v>
      </c>
      <c r="F40" s="151"/>
      <c r="G40" s="150">
        <f>G32+G18</f>
        <v>263298</v>
      </c>
      <c r="H40" s="152"/>
      <c r="I40" s="53"/>
      <c r="J40" s="53"/>
      <c r="K40" s="55"/>
      <c r="L40" s="55"/>
    </row>
    <row r="41" spans="2:14" ht="16.5" thickBot="1" x14ac:dyDescent="0.3">
      <c r="B41" s="64" t="s">
        <v>148</v>
      </c>
      <c r="C41" s="147">
        <f>E41+G41</f>
        <v>7500</v>
      </c>
      <c r="D41" s="148"/>
      <c r="E41" s="147">
        <f>E19+300</f>
        <v>7500</v>
      </c>
      <c r="F41" s="148"/>
      <c r="G41" s="147">
        <f>G19</f>
        <v>0</v>
      </c>
      <c r="H41" s="176"/>
      <c r="I41" s="53"/>
      <c r="J41" s="53"/>
      <c r="K41" s="55"/>
      <c r="L41" s="55"/>
    </row>
    <row r="42" spans="2:14" ht="30.75" customHeight="1" thickBot="1" x14ac:dyDescent="0.3">
      <c r="B42" s="13" t="s">
        <v>150</v>
      </c>
      <c r="C42" s="156">
        <f>E42+G42</f>
        <v>-56260.338200000057</v>
      </c>
      <c r="D42" s="157"/>
      <c r="E42" s="154">
        <f>E39+E41-E40</f>
        <v>-23982.25820000004</v>
      </c>
      <c r="F42" s="155"/>
      <c r="G42" s="154">
        <f>G39-G40</f>
        <v>-32278.080000000016</v>
      </c>
      <c r="H42" s="158"/>
      <c r="I42" s="53"/>
      <c r="J42" s="53"/>
      <c r="K42" s="55"/>
      <c r="L42" s="55"/>
    </row>
    <row r="43" spans="2:14" ht="34.5" customHeight="1" x14ac:dyDescent="0.25">
      <c r="B43" s="128" t="s">
        <v>88</v>
      </c>
      <c r="C43" s="149" t="s">
        <v>155</v>
      </c>
      <c r="D43" s="149"/>
      <c r="E43" s="149"/>
      <c r="F43" s="153" t="s">
        <v>14</v>
      </c>
      <c r="G43" s="153"/>
      <c r="H43" s="128"/>
      <c r="I43" s="128"/>
      <c r="J43" s="128"/>
      <c r="K43" s="2"/>
      <c r="L43" s="2"/>
      <c r="M43" s="199"/>
      <c r="N43" s="199"/>
    </row>
    <row r="44" spans="2:14" ht="11.25" customHeight="1" x14ac:dyDescent="0.25">
      <c r="B44" s="128"/>
      <c r="C44" s="128"/>
      <c r="D44" s="128"/>
      <c r="E44" s="127"/>
      <c r="F44" s="160"/>
      <c r="G44" s="160"/>
      <c r="H44" s="129"/>
      <c r="I44" s="129"/>
      <c r="J44" s="129"/>
      <c r="K44" s="2"/>
      <c r="L44" s="2"/>
      <c r="M44" s="199"/>
      <c r="N44" s="199"/>
    </row>
    <row r="45" spans="2:14" x14ac:dyDescent="0.25">
      <c r="B45" s="128" t="s">
        <v>89</v>
      </c>
      <c r="C45" s="149" t="s">
        <v>155</v>
      </c>
      <c r="D45" s="149"/>
      <c r="E45" s="149"/>
      <c r="F45" s="153" t="s">
        <v>100</v>
      </c>
      <c r="G45" s="153"/>
      <c r="H45" s="128"/>
      <c r="I45" s="128"/>
      <c r="J45" s="128"/>
      <c r="K45" s="2"/>
      <c r="L45" s="2"/>
      <c r="M45" s="199"/>
      <c r="N45" s="199"/>
    </row>
    <row r="46" spans="2:14" ht="9.75" customHeight="1" x14ac:dyDescent="0.25">
      <c r="B46" s="128"/>
      <c r="C46" s="128"/>
      <c r="D46" s="128"/>
      <c r="E46" s="127"/>
      <c r="F46" s="153"/>
      <c r="G46" s="153"/>
      <c r="H46" s="128"/>
      <c r="I46" s="128"/>
      <c r="J46" s="128"/>
    </row>
    <row r="47" spans="2:14" x14ac:dyDescent="0.25">
      <c r="B47" s="128" t="s">
        <v>90</v>
      </c>
      <c r="C47" s="149" t="s">
        <v>155</v>
      </c>
      <c r="D47" s="149"/>
      <c r="E47" s="149"/>
      <c r="F47" s="153" t="s">
        <v>114</v>
      </c>
      <c r="G47" s="153"/>
      <c r="H47" s="128"/>
      <c r="I47" s="128"/>
      <c r="J47" s="128"/>
    </row>
    <row r="48" spans="2:14" ht="8.25" customHeight="1" x14ac:dyDescent="0.25">
      <c r="B48" s="56"/>
      <c r="C48" s="56"/>
      <c r="D48" s="56"/>
      <c r="E48" s="127"/>
      <c r="F48" s="57"/>
      <c r="G48" s="58"/>
      <c r="H48" s="59"/>
      <c r="I48" s="59"/>
      <c r="J48" s="59"/>
    </row>
    <row r="49" spans="2:7" x14ac:dyDescent="0.25">
      <c r="B49" s="128" t="s">
        <v>91</v>
      </c>
      <c r="C49" s="149" t="s">
        <v>155</v>
      </c>
      <c r="D49" s="149"/>
      <c r="E49" s="149"/>
      <c r="F49" s="153" t="s">
        <v>114</v>
      </c>
      <c r="G49" s="153"/>
    </row>
    <row r="50" spans="2:7" ht="9" customHeight="1" x14ac:dyDescent="0.25">
      <c r="B50" s="60"/>
      <c r="C50" s="60"/>
      <c r="D50" s="60"/>
      <c r="E50" s="127"/>
      <c r="F50" s="159"/>
      <c r="G50" s="159"/>
    </row>
    <row r="51" spans="2:7" x14ac:dyDescent="0.25">
      <c r="C51" s="135"/>
      <c r="E51" s="131"/>
    </row>
  </sheetData>
  <mergeCells count="61">
    <mergeCell ref="E17:F17"/>
    <mergeCell ref="G17:H17"/>
    <mergeCell ref="E20:F20"/>
    <mergeCell ref="G20:H20"/>
    <mergeCell ref="E18:F18"/>
    <mergeCell ref="G18:H18"/>
    <mergeCell ref="E19:F19"/>
    <mergeCell ref="G19:H19"/>
    <mergeCell ref="B1:H1"/>
    <mergeCell ref="B22:H22"/>
    <mergeCell ref="B23:B24"/>
    <mergeCell ref="C23:C24"/>
    <mergeCell ref="D23:D24"/>
    <mergeCell ref="E23:E24"/>
    <mergeCell ref="F23:G23"/>
    <mergeCell ref="H23:H24"/>
    <mergeCell ref="B2:H3"/>
    <mergeCell ref="D5:E5"/>
    <mergeCell ref="B14:H14"/>
    <mergeCell ref="E15:F15"/>
    <mergeCell ref="G15:H15"/>
    <mergeCell ref="C20:D20"/>
    <mergeCell ref="E16:F16"/>
    <mergeCell ref="G16:H16"/>
    <mergeCell ref="F50:G50"/>
    <mergeCell ref="F46:G46"/>
    <mergeCell ref="F47:G47"/>
    <mergeCell ref="F43:G43"/>
    <mergeCell ref="F44:G44"/>
    <mergeCell ref="F45:G45"/>
    <mergeCell ref="C15:D15"/>
    <mergeCell ref="C16:D16"/>
    <mergeCell ref="C17:D17"/>
    <mergeCell ref="C18:D18"/>
    <mergeCell ref="C19:D19"/>
    <mergeCell ref="N22:N23"/>
    <mergeCell ref="C37:D37"/>
    <mergeCell ref="C38:D38"/>
    <mergeCell ref="C39:D39"/>
    <mergeCell ref="E39:F39"/>
    <mergeCell ref="G39:H39"/>
    <mergeCell ref="B36:H36"/>
    <mergeCell ref="E37:F37"/>
    <mergeCell ref="G37:H37"/>
    <mergeCell ref="E38:F38"/>
    <mergeCell ref="G38:H38"/>
    <mergeCell ref="C43:E43"/>
    <mergeCell ref="C45:E45"/>
    <mergeCell ref="C47:E47"/>
    <mergeCell ref="C49:E49"/>
    <mergeCell ref="M22:M23"/>
    <mergeCell ref="F49:G49"/>
    <mergeCell ref="G40:H40"/>
    <mergeCell ref="G42:H42"/>
    <mergeCell ref="E40:F40"/>
    <mergeCell ref="E42:F42"/>
    <mergeCell ref="E41:F41"/>
    <mergeCell ref="G41:H41"/>
    <mergeCell ref="C40:D40"/>
    <mergeCell ref="C41:D41"/>
    <mergeCell ref="C42:D42"/>
  </mergeCells>
  <printOptions horizontalCentered="1"/>
  <pageMargins left="0.19685039370078741" right="0.19685039370078741" top="0.19685039370078741" bottom="0.23622047244094491" header="0.31496062992125984" footer="0.31496062992125984"/>
  <pageSetup paperSize="9" scale="4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51"/>
  <sheetViews>
    <sheetView topLeftCell="B1" zoomScale="110" zoomScaleNormal="110" workbookViewId="0">
      <selection activeCell="M1" sqref="M1:N1048576"/>
    </sheetView>
  </sheetViews>
  <sheetFormatPr defaultColWidth="9.140625" defaultRowHeight="15.75" outlineLevelRow="1" x14ac:dyDescent="0.25"/>
  <cols>
    <col min="1" max="1" width="2.85546875" style="3" customWidth="1"/>
    <col min="2" max="2" width="57.140625" style="3" customWidth="1"/>
    <col min="3" max="3" width="21.85546875" style="135" customWidth="1"/>
    <col min="4" max="4" width="9" style="136" customWidth="1"/>
    <col min="5" max="5" width="10.28515625" style="136" customWidth="1"/>
    <col min="6" max="6" width="10.85546875" style="3" customWidth="1"/>
    <col min="7" max="8" width="10.42578125" style="3" customWidth="1"/>
    <col min="9" max="9" width="11.140625" style="3" bestFit="1" customWidth="1"/>
    <col min="10" max="12" width="9.140625" style="3"/>
    <col min="13" max="13" width="18.7109375" style="194" customWidth="1"/>
    <col min="14" max="14" width="15.85546875" style="194" customWidth="1"/>
    <col min="15" max="16384" width="9.140625" style="3"/>
  </cols>
  <sheetData>
    <row r="1" spans="2:9" x14ac:dyDescent="0.25">
      <c r="B1" s="161" t="s">
        <v>116</v>
      </c>
      <c r="C1" s="161"/>
      <c r="D1" s="161"/>
      <c r="E1" s="161"/>
      <c r="F1" s="161"/>
      <c r="G1" s="161"/>
      <c r="H1" s="161"/>
    </row>
    <row r="2" spans="2:9" ht="19.5" customHeight="1" x14ac:dyDescent="0.25">
      <c r="B2" s="185" t="s">
        <v>162</v>
      </c>
      <c r="C2" s="185"/>
      <c r="D2" s="185"/>
      <c r="E2" s="185"/>
      <c r="F2" s="185"/>
      <c r="G2" s="185"/>
      <c r="H2" s="185"/>
    </row>
    <row r="3" spans="2:9" ht="20.25" customHeight="1" x14ac:dyDescent="0.25">
      <c r="B3" s="185"/>
      <c r="C3" s="185"/>
      <c r="D3" s="185"/>
      <c r="E3" s="185"/>
      <c r="F3" s="185"/>
      <c r="G3" s="185"/>
      <c r="H3" s="185"/>
    </row>
    <row r="4" spans="2:9" ht="12.75" customHeight="1" x14ac:dyDescent="0.25"/>
    <row r="5" spans="2:9" x14ac:dyDescent="0.25">
      <c r="B5" s="3" t="s">
        <v>0</v>
      </c>
      <c r="D5" s="172" t="s">
        <v>21</v>
      </c>
      <c r="E5" s="172"/>
    </row>
    <row r="6" spans="2:9" x14ac:dyDescent="0.25">
      <c r="B6" s="3" t="s">
        <v>1</v>
      </c>
      <c r="D6" s="126">
        <v>1980</v>
      </c>
      <c r="E6" s="126"/>
    </row>
    <row r="7" spans="2:9" hidden="1" outlineLevel="1" x14ac:dyDescent="0.25">
      <c r="B7" s="3" t="s">
        <v>2</v>
      </c>
      <c r="D7" s="126">
        <v>2</v>
      </c>
      <c r="E7" s="126"/>
    </row>
    <row r="8" spans="2:9" hidden="1" outlineLevel="1" x14ac:dyDescent="0.25">
      <c r="B8" s="3" t="s">
        <v>3</v>
      </c>
      <c r="D8" s="126">
        <v>18</v>
      </c>
      <c r="E8" s="126"/>
    </row>
    <row r="9" spans="2:9" ht="30.75" hidden="1" customHeight="1" outlineLevel="1" x14ac:dyDescent="0.25">
      <c r="B9" s="17" t="s">
        <v>4</v>
      </c>
      <c r="C9" s="18"/>
      <c r="D9" s="126" t="s">
        <v>22</v>
      </c>
      <c r="E9" s="126"/>
    </row>
    <row r="10" spans="2:9" collapsed="1" x14ac:dyDescent="0.25">
      <c r="B10" s="3" t="s">
        <v>5</v>
      </c>
      <c r="D10" s="126" t="s">
        <v>127</v>
      </c>
      <c r="E10" s="126"/>
      <c r="I10" s="12"/>
    </row>
    <row r="11" spans="2:9" hidden="1" outlineLevel="1" x14ac:dyDescent="0.25">
      <c r="B11" s="3" t="s">
        <v>6</v>
      </c>
      <c r="D11" s="126" t="s">
        <v>7</v>
      </c>
      <c r="E11" s="126"/>
    </row>
    <row r="12" spans="2:9" ht="30.75" hidden="1" customHeight="1" outlineLevel="1" x14ac:dyDescent="0.25">
      <c r="B12" s="17" t="s">
        <v>8</v>
      </c>
      <c r="C12" s="18"/>
      <c r="D12" s="138" t="s">
        <v>23</v>
      </c>
      <c r="E12" s="126"/>
      <c r="I12" s="12"/>
    </row>
    <row r="13" spans="2:9" collapsed="1" x14ac:dyDescent="0.25">
      <c r="B13" s="17"/>
      <c r="C13" s="18"/>
      <c r="D13" s="138"/>
      <c r="E13" s="126"/>
      <c r="I13" s="12"/>
    </row>
    <row r="14" spans="2:9" ht="16.5" thickBot="1" x14ac:dyDescent="0.3">
      <c r="B14" s="188" t="s">
        <v>157</v>
      </c>
      <c r="C14" s="188"/>
      <c r="D14" s="188"/>
      <c r="E14" s="188"/>
      <c r="F14" s="188"/>
      <c r="G14" s="188"/>
      <c r="H14" s="188"/>
      <c r="I14" s="12"/>
    </row>
    <row r="15" spans="2:9" ht="45.75" customHeight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  <c r="I15" s="12"/>
    </row>
    <row r="16" spans="2:9" x14ac:dyDescent="0.25">
      <c r="B16" s="111" t="s">
        <v>12</v>
      </c>
      <c r="C16" s="139">
        <v>874777.12</v>
      </c>
      <c r="D16" s="175"/>
      <c r="E16" s="143">
        <v>646784.15</v>
      </c>
      <c r="F16" s="144"/>
      <c r="G16" s="143">
        <v>227992.97</v>
      </c>
      <c r="H16" s="145"/>
      <c r="I16" s="12"/>
    </row>
    <row r="17" spans="2:14" x14ac:dyDescent="0.25">
      <c r="B17" s="52" t="s">
        <v>13</v>
      </c>
      <c r="C17" s="141">
        <v>874885.05</v>
      </c>
      <c r="D17" s="173"/>
      <c r="E17" s="141">
        <v>646933.12000000011</v>
      </c>
      <c r="F17" s="142"/>
      <c r="G17" s="141">
        <v>227951.93</v>
      </c>
      <c r="H17" s="146"/>
      <c r="I17" s="12"/>
    </row>
    <row r="18" spans="2:14" x14ac:dyDescent="0.25">
      <c r="B18" s="54" t="s">
        <v>87</v>
      </c>
      <c r="C18" s="141">
        <v>1041436.0908</v>
      </c>
      <c r="D18" s="173"/>
      <c r="E18" s="150">
        <v>641128.09080000001</v>
      </c>
      <c r="F18" s="151"/>
      <c r="G18" s="150">
        <v>400308</v>
      </c>
      <c r="H18" s="152"/>
      <c r="I18" s="12"/>
    </row>
    <row r="19" spans="2:14" ht="16.5" thickBot="1" x14ac:dyDescent="0.3">
      <c r="B19" s="64" t="s">
        <v>148</v>
      </c>
      <c r="C19" s="147">
        <v>7200</v>
      </c>
      <c r="D19" s="174"/>
      <c r="E19" s="147">
        <v>7200</v>
      </c>
      <c r="F19" s="148"/>
      <c r="G19" s="147">
        <v>0</v>
      </c>
      <c r="H19" s="176"/>
      <c r="I19" s="12"/>
    </row>
    <row r="20" spans="2:14" ht="30" customHeight="1" thickBot="1" x14ac:dyDescent="0.3">
      <c r="B20" s="13" t="s">
        <v>149</v>
      </c>
      <c r="C20" s="156">
        <f>E20+G20</f>
        <v>-159351.0407999999</v>
      </c>
      <c r="D20" s="157"/>
      <c r="E20" s="154">
        <f>E17+E19-E18</f>
        <v>13005.029200000106</v>
      </c>
      <c r="F20" s="155"/>
      <c r="G20" s="154">
        <f>G17-G18</f>
        <v>-172356.07</v>
      </c>
      <c r="H20" s="158"/>
      <c r="I20" s="12"/>
    </row>
    <row r="21" spans="2:14" x14ac:dyDescent="0.25">
      <c r="B21" s="17"/>
      <c r="C21" s="18"/>
      <c r="D21" s="138"/>
      <c r="E21" s="126"/>
      <c r="I21" s="12"/>
    </row>
    <row r="22" spans="2:14" ht="19.5" customHeight="1" thickBot="1" x14ac:dyDescent="0.3">
      <c r="B22" s="193" t="s">
        <v>163</v>
      </c>
      <c r="C22" s="193"/>
      <c r="D22" s="193"/>
      <c r="E22" s="193"/>
      <c r="F22" s="193"/>
      <c r="G22" s="193"/>
      <c r="H22" s="193"/>
      <c r="I22" s="19"/>
      <c r="J22" s="19"/>
      <c r="L22" s="12"/>
      <c r="M22" s="195" t="s">
        <v>151</v>
      </c>
      <c r="N22" s="195" t="s">
        <v>152</v>
      </c>
    </row>
    <row r="23" spans="2:14" ht="27.75" customHeight="1" x14ac:dyDescent="0.25">
      <c r="B23" s="162" t="s">
        <v>101</v>
      </c>
      <c r="C23" s="164" t="s">
        <v>102</v>
      </c>
      <c r="D23" s="164" t="s">
        <v>103</v>
      </c>
      <c r="E23" s="166" t="s">
        <v>164</v>
      </c>
      <c r="F23" s="168" t="s">
        <v>104</v>
      </c>
      <c r="G23" s="169"/>
      <c r="H23" s="170" t="s">
        <v>123</v>
      </c>
      <c r="I23" s="20"/>
      <c r="J23" s="20"/>
      <c r="L23" s="12"/>
      <c r="M23" s="196"/>
      <c r="N23" s="196"/>
    </row>
    <row r="24" spans="2:14" ht="45" customHeight="1" thickBot="1" x14ac:dyDescent="0.3">
      <c r="B24" s="163"/>
      <c r="C24" s="165"/>
      <c r="D24" s="165"/>
      <c r="E24" s="167"/>
      <c r="F24" s="21" t="s">
        <v>92</v>
      </c>
      <c r="G24" s="22" t="s">
        <v>93</v>
      </c>
      <c r="H24" s="171"/>
      <c r="I24" s="20"/>
      <c r="J24" s="20"/>
      <c r="M24" s="197">
        <v>109190.53</v>
      </c>
      <c r="N24" s="197">
        <f>109190.53*1.01</f>
        <v>110282.4353</v>
      </c>
    </row>
    <row r="25" spans="2:14" ht="50.25" customHeight="1" x14ac:dyDescent="0.25">
      <c r="B25" s="23" t="s">
        <v>105</v>
      </c>
      <c r="C25" s="7" t="s">
        <v>121</v>
      </c>
      <c r="D25" s="24" t="s">
        <v>107</v>
      </c>
      <c r="E25" s="25">
        <v>1.06</v>
      </c>
      <c r="F25" s="26">
        <f>$M$24/$M$25*E25</f>
        <v>10380.445004484303</v>
      </c>
      <c r="G25" s="27">
        <f>$N$24/$N$25*E25</f>
        <v>10484.249454529147</v>
      </c>
      <c r="H25" s="28">
        <f>F25-G25</f>
        <v>-103.80445004484318</v>
      </c>
      <c r="I25" s="29"/>
      <c r="J25" s="29"/>
      <c r="K25" s="134"/>
      <c r="L25" s="31"/>
      <c r="M25" s="198">
        <f>E34-E32</f>
        <v>11.150000000000002</v>
      </c>
      <c r="N25" s="198">
        <f>E34-E32</f>
        <v>11.150000000000002</v>
      </c>
    </row>
    <row r="26" spans="2:14" ht="56.25" x14ac:dyDescent="0.25">
      <c r="B26" s="32" t="s">
        <v>99</v>
      </c>
      <c r="C26" s="7" t="s">
        <v>121</v>
      </c>
      <c r="D26" s="24" t="s">
        <v>107</v>
      </c>
      <c r="E26" s="8">
        <v>1.19</v>
      </c>
      <c r="F26" s="26">
        <f>$M$24/$M$25*E26</f>
        <v>11653.51844843049</v>
      </c>
      <c r="G26" s="27">
        <f>$N$24/$N$25*E26</f>
        <v>11770.053632914796</v>
      </c>
      <c r="H26" s="28">
        <f t="shared" ref="H26:H31" si="0">F26-G26</f>
        <v>-116.53518448430623</v>
      </c>
      <c r="I26" s="29"/>
      <c r="J26" s="29"/>
      <c r="K26" s="2"/>
      <c r="L26" s="2"/>
      <c r="M26" s="199"/>
      <c r="N26" s="199"/>
    </row>
    <row r="27" spans="2:14" ht="52.5" customHeight="1" x14ac:dyDescent="0.25">
      <c r="B27" s="33" t="s">
        <v>94</v>
      </c>
      <c r="C27" s="7" t="s">
        <v>121</v>
      </c>
      <c r="D27" s="24" t="s">
        <v>107</v>
      </c>
      <c r="E27" s="8">
        <v>0.32</v>
      </c>
      <c r="F27" s="26">
        <f t="shared" ref="F27:F33" si="1">$M$24/$M$25*E27</f>
        <v>3133.7192466367705</v>
      </c>
      <c r="G27" s="27">
        <f t="shared" ref="G27:G30" si="2">$N$24/$N$25*E27</f>
        <v>3165.0564391031385</v>
      </c>
      <c r="H27" s="28">
        <f t="shared" si="0"/>
        <v>-31.337192466367924</v>
      </c>
      <c r="I27" s="29"/>
      <c r="J27" s="29"/>
      <c r="L27" s="12"/>
    </row>
    <row r="28" spans="2:14" ht="25.5" x14ac:dyDescent="0.25">
      <c r="B28" s="33" t="s">
        <v>108</v>
      </c>
      <c r="C28" s="34" t="s">
        <v>109</v>
      </c>
      <c r="D28" s="24" t="s">
        <v>107</v>
      </c>
      <c r="E28" s="8">
        <v>0</v>
      </c>
      <c r="F28" s="26">
        <f t="shared" si="1"/>
        <v>0</v>
      </c>
      <c r="G28" s="27">
        <f t="shared" si="2"/>
        <v>0</v>
      </c>
      <c r="H28" s="28">
        <f t="shared" si="0"/>
        <v>0</v>
      </c>
      <c r="I28" s="29"/>
      <c r="J28" s="29"/>
      <c r="L28" s="12"/>
    </row>
    <row r="29" spans="2:14" ht="51" x14ac:dyDescent="0.25">
      <c r="B29" s="32" t="s">
        <v>95</v>
      </c>
      <c r="C29" s="7" t="s">
        <v>122</v>
      </c>
      <c r="D29" s="24" t="s">
        <v>107</v>
      </c>
      <c r="E29" s="8">
        <v>1.18</v>
      </c>
      <c r="F29" s="26">
        <f t="shared" si="1"/>
        <v>11555.58972197309</v>
      </c>
      <c r="G29" s="27">
        <f t="shared" si="2"/>
        <v>11671.145619192823</v>
      </c>
      <c r="H29" s="28">
        <f t="shared" si="0"/>
        <v>-115.55589721973229</v>
      </c>
      <c r="I29" s="29"/>
      <c r="J29" s="29"/>
    </row>
    <row r="30" spans="2:14" ht="227.25" customHeight="1" x14ac:dyDescent="0.25">
      <c r="B30" s="32" t="s">
        <v>119</v>
      </c>
      <c r="C30" s="35" t="s">
        <v>110</v>
      </c>
      <c r="D30" s="24" t="s">
        <v>107</v>
      </c>
      <c r="E30" s="8">
        <v>5.61</v>
      </c>
      <c r="F30" s="26">
        <f t="shared" si="1"/>
        <v>54938.015542600886</v>
      </c>
      <c r="G30" s="27">
        <f t="shared" si="2"/>
        <v>55487.395698026899</v>
      </c>
      <c r="H30" s="28">
        <f t="shared" si="0"/>
        <v>-549.38015542601352</v>
      </c>
      <c r="I30" s="29"/>
      <c r="J30" s="29"/>
      <c r="K30" s="2"/>
      <c r="L30" s="1"/>
      <c r="M30" s="199"/>
      <c r="N30" s="199"/>
    </row>
    <row r="31" spans="2:14" ht="108.75" customHeight="1" x14ac:dyDescent="0.25">
      <c r="B31" s="32" t="s">
        <v>111</v>
      </c>
      <c r="C31" s="7" t="s">
        <v>121</v>
      </c>
      <c r="D31" s="24" t="s">
        <v>107</v>
      </c>
      <c r="E31" s="8">
        <v>0.24</v>
      </c>
      <c r="F31" s="26">
        <f t="shared" si="1"/>
        <v>2350.2894349775779</v>
      </c>
      <c r="G31" s="27">
        <f t="shared" ref="G31" si="3">$N$24/$N$25*E31</f>
        <v>2373.7923293273539</v>
      </c>
      <c r="H31" s="28">
        <f t="shared" si="0"/>
        <v>-23.502894349775943</v>
      </c>
      <c r="I31" s="29"/>
      <c r="J31" s="29"/>
    </row>
    <row r="32" spans="2:14" ht="56.25" x14ac:dyDescent="0.25">
      <c r="B32" s="33" t="s">
        <v>112</v>
      </c>
      <c r="C32" s="7" t="s">
        <v>121</v>
      </c>
      <c r="D32" s="24" t="s">
        <v>107</v>
      </c>
      <c r="E32" s="8">
        <v>4.3600000000000003</v>
      </c>
      <c r="F32" s="26">
        <v>43877.49</v>
      </c>
      <c r="G32" s="5">
        <v>9671</v>
      </c>
      <c r="H32" s="28">
        <f>F32-G32</f>
        <v>34206.49</v>
      </c>
      <c r="I32" s="29"/>
      <c r="J32" s="29"/>
      <c r="L32" s="12"/>
    </row>
    <row r="33" spans="2:14" ht="16.5" thickBot="1" x14ac:dyDescent="0.3">
      <c r="B33" s="36" t="s">
        <v>97</v>
      </c>
      <c r="C33" s="37" t="s">
        <v>110</v>
      </c>
      <c r="D33" s="38" t="s">
        <v>107</v>
      </c>
      <c r="E33" s="39">
        <f>1.25+0.3</f>
        <v>1.55</v>
      </c>
      <c r="F33" s="26">
        <f t="shared" si="1"/>
        <v>15178.952600896857</v>
      </c>
      <c r="G33" s="27">
        <f t="shared" ref="G33" si="4">$N$24/$N$25*E33</f>
        <v>15330.742126905827</v>
      </c>
      <c r="H33" s="40">
        <f>F33-G33</f>
        <v>-151.78952600896991</v>
      </c>
      <c r="I33" s="29"/>
      <c r="J33" s="29"/>
    </row>
    <row r="34" spans="2:14" ht="16.5" thickBot="1" x14ac:dyDescent="0.3">
      <c r="B34" s="41" t="s">
        <v>98</v>
      </c>
      <c r="C34" s="42"/>
      <c r="D34" s="42"/>
      <c r="E34" s="43">
        <f>SUM(E25:E33)</f>
        <v>15.510000000000002</v>
      </c>
      <c r="F34" s="44">
        <f>SUM(F25:F33)</f>
        <v>153068.01999999996</v>
      </c>
      <c r="G34" s="45">
        <f>SUM(G25:G33)</f>
        <v>119953.43529999998</v>
      </c>
      <c r="H34" s="46">
        <f>SUM(H25:H33)</f>
        <v>33114.584699999985</v>
      </c>
      <c r="I34" s="47"/>
      <c r="J34" s="47"/>
    </row>
    <row r="35" spans="2:14" x14ac:dyDescent="0.25">
      <c r="B35" s="12"/>
      <c r="C35" s="12"/>
      <c r="D35" s="12"/>
      <c r="E35" s="135"/>
      <c r="F35" s="135"/>
      <c r="G35" s="135"/>
      <c r="H35" s="136"/>
      <c r="I35" s="136"/>
      <c r="J35" s="136"/>
    </row>
    <row r="36" spans="2:14" ht="16.5" customHeight="1" thickBot="1" x14ac:dyDescent="0.3">
      <c r="B36" s="188" t="s">
        <v>165</v>
      </c>
      <c r="C36" s="188"/>
      <c r="D36" s="188"/>
      <c r="E36" s="188"/>
      <c r="F36" s="188"/>
      <c r="G36" s="188"/>
      <c r="H36" s="188"/>
      <c r="I36" s="48"/>
      <c r="J36" s="48"/>
    </row>
    <row r="37" spans="2:14" ht="44.25" customHeight="1" thickBot="1" x14ac:dyDescent="0.3">
      <c r="B37" s="110" t="s">
        <v>166</v>
      </c>
      <c r="C37" s="186" t="s">
        <v>113</v>
      </c>
      <c r="D37" s="187"/>
      <c r="E37" s="181" t="s">
        <v>10</v>
      </c>
      <c r="F37" s="189"/>
      <c r="G37" s="181" t="s">
        <v>11</v>
      </c>
      <c r="H37" s="182"/>
      <c r="I37" s="49"/>
      <c r="J37" s="49"/>
      <c r="K37" s="50"/>
      <c r="L37" s="51"/>
      <c r="M37" s="200"/>
      <c r="N37" s="200"/>
    </row>
    <row r="38" spans="2:14" x14ac:dyDescent="0.25">
      <c r="B38" s="111" t="s">
        <v>12</v>
      </c>
      <c r="C38" s="139">
        <f>E38+G38</f>
        <v>1027845.1399999999</v>
      </c>
      <c r="D38" s="140"/>
      <c r="E38" s="143">
        <f>F25+F26+F27+F28+F29+F30+F31+F33+E16</f>
        <v>755974.67999999993</v>
      </c>
      <c r="F38" s="144"/>
      <c r="G38" s="143">
        <f>F32+G16</f>
        <v>271870.46000000002</v>
      </c>
      <c r="H38" s="145"/>
      <c r="I38" s="53"/>
      <c r="J38" s="53"/>
      <c r="K38" s="9"/>
      <c r="L38" s="9"/>
      <c r="M38" s="201"/>
    </row>
    <row r="39" spans="2:14" x14ac:dyDescent="0.25">
      <c r="B39" s="52" t="s">
        <v>13</v>
      </c>
      <c r="C39" s="141">
        <f>E39+G39</f>
        <v>1026264.27</v>
      </c>
      <c r="D39" s="142"/>
      <c r="E39" s="141">
        <f>E17+107985.83</f>
        <v>754918.95000000007</v>
      </c>
      <c r="F39" s="142"/>
      <c r="G39" s="141">
        <f>G17+43393.39</f>
        <v>271345.32</v>
      </c>
      <c r="H39" s="146"/>
      <c r="I39" s="53"/>
      <c r="J39" s="53"/>
      <c r="K39" s="11"/>
      <c r="L39" s="9"/>
      <c r="M39" s="201"/>
    </row>
    <row r="40" spans="2:14" x14ac:dyDescent="0.25">
      <c r="B40" s="54" t="s">
        <v>87</v>
      </c>
      <c r="C40" s="141">
        <f>E40+G40</f>
        <v>1161389.5260999999</v>
      </c>
      <c r="D40" s="142"/>
      <c r="E40" s="150">
        <f>G25+G26+G27+G28+G29+G30+G31+G33+E18</f>
        <v>751410.52610000002</v>
      </c>
      <c r="F40" s="151"/>
      <c r="G40" s="150">
        <f>G32+G18</f>
        <v>409979</v>
      </c>
      <c r="H40" s="152"/>
      <c r="I40" s="53"/>
      <c r="J40" s="53"/>
      <c r="K40" s="55"/>
      <c r="L40" s="55"/>
    </row>
    <row r="41" spans="2:14" ht="16.5" thickBot="1" x14ac:dyDescent="0.3">
      <c r="B41" s="64" t="s">
        <v>148</v>
      </c>
      <c r="C41" s="147">
        <f>E41+G41</f>
        <v>7500</v>
      </c>
      <c r="D41" s="148"/>
      <c r="E41" s="147">
        <f>E19+300</f>
        <v>7500</v>
      </c>
      <c r="F41" s="148"/>
      <c r="G41" s="147">
        <f>G19</f>
        <v>0</v>
      </c>
      <c r="H41" s="176"/>
      <c r="I41" s="53"/>
      <c r="J41" s="53"/>
      <c r="K41" s="55"/>
      <c r="L41" s="55"/>
    </row>
    <row r="42" spans="2:14" ht="28.5" customHeight="1" thickBot="1" x14ac:dyDescent="0.3">
      <c r="B42" s="13" t="s">
        <v>150</v>
      </c>
      <c r="C42" s="156">
        <f>E42+G42</f>
        <v>-127625.25609999994</v>
      </c>
      <c r="D42" s="157"/>
      <c r="E42" s="154">
        <f>E39+E41-E40</f>
        <v>11008.423900000053</v>
      </c>
      <c r="F42" s="155"/>
      <c r="G42" s="154">
        <f>G39-G40</f>
        <v>-138633.68</v>
      </c>
      <c r="H42" s="158"/>
      <c r="I42" s="53"/>
      <c r="J42" s="53"/>
      <c r="K42" s="55"/>
      <c r="L42" s="55"/>
    </row>
    <row r="43" spans="2:14" ht="34.5" customHeight="1" x14ac:dyDescent="0.25">
      <c r="B43" s="128" t="s">
        <v>88</v>
      </c>
      <c r="C43" s="149" t="s">
        <v>155</v>
      </c>
      <c r="D43" s="149"/>
      <c r="E43" s="149"/>
      <c r="F43" s="153" t="s">
        <v>14</v>
      </c>
      <c r="G43" s="153"/>
      <c r="H43" s="128"/>
      <c r="I43" s="128"/>
      <c r="J43" s="128"/>
      <c r="K43" s="2"/>
      <c r="L43" s="2"/>
      <c r="M43" s="199"/>
      <c r="N43" s="199"/>
    </row>
    <row r="44" spans="2:14" ht="11.25" customHeight="1" x14ac:dyDescent="0.25">
      <c r="B44" s="128"/>
      <c r="C44" s="128"/>
      <c r="D44" s="128"/>
      <c r="E44" s="127"/>
      <c r="F44" s="160"/>
      <c r="G44" s="160"/>
      <c r="H44" s="129"/>
      <c r="I44" s="129"/>
      <c r="J44" s="129"/>
      <c r="K44" s="2"/>
      <c r="L44" s="2"/>
      <c r="M44" s="199"/>
      <c r="N44" s="199"/>
    </row>
    <row r="45" spans="2:14" x14ac:dyDescent="0.25">
      <c r="B45" s="128" t="s">
        <v>89</v>
      </c>
      <c r="C45" s="149" t="s">
        <v>155</v>
      </c>
      <c r="D45" s="149"/>
      <c r="E45" s="149"/>
      <c r="F45" s="153" t="s">
        <v>100</v>
      </c>
      <c r="G45" s="153"/>
      <c r="H45" s="128"/>
      <c r="I45" s="128"/>
      <c r="J45" s="128"/>
      <c r="K45" s="2"/>
      <c r="L45" s="2"/>
      <c r="M45" s="199"/>
      <c r="N45" s="199"/>
    </row>
    <row r="46" spans="2:14" ht="9.75" customHeight="1" x14ac:dyDescent="0.25">
      <c r="B46" s="128"/>
      <c r="C46" s="128"/>
      <c r="D46" s="128"/>
      <c r="E46" s="127"/>
      <c r="F46" s="153"/>
      <c r="G46" s="153"/>
      <c r="H46" s="128"/>
      <c r="I46" s="128"/>
      <c r="J46" s="128"/>
    </row>
    <row r="47" spans="2:14" x14ac:dyDescent="0.25">
      <c r="B47" s="128" t="s">
        <v>90</v>
      </c>
      <c r="C47" s="149" t="s">
        <v>155</v>
      </c>
      <c r="D47" s="149"/>
      <c r="E47" s="149"/>
      <c r="F47" s="153" t="s">
        <v>114</v>
      </c>
      <c r="G47" s="153"/>
      <c r="H47" s="128"/>
      <c r="I47" s="128"/>
      <c r="J47" s="128"/>
    </row>
    <row r="48" spans="2:14" ht="8.25" customHeight="1" x14ac:dyDescent="0.25">
      <c r="B48" s="56"/>
      <c r="C48" s="56"/>
      <c r="D48" s="56"/>
      <c r="E48" s="127"/>
      <c r="F48" s="57"/>
      <c r="G48" s="58"/>
      <c r="H48" s="59"/>
      <c r="I48" s="59"/>
      <c r="J48" s="59"/>
    </row>
    <row r="49" spans="2:7" x14ac:dyDescent="0.25">
      <c r="B49" s="128" t="s">
        <v>91</v>
      </c>
      <c r="C49" s="149" t="s">
        <v>155</v>
      </c>
      <c r="D49" s="149"/>
      <c r="E49" s="149"/>
      <c r="F49" s="153" t="s">
        <v>114</v>
      </c>
      <c r="G49" s="153"/>
    </row>
    <row r="50" spans="2:7" ht="9" customHeight="1" x14ac:dyDescent="0.25">
      <c r="B50" s="60"/>
      <c r="C50" s="60"/>
      <c r="D50" s="60"/>
      <c r="E50" s="127"/>
      <c r="F50" s="159"/>
      <c r="G50" s="159"/>
    </row>
    <row r="51" spans="2:7" x14ac:dyDescent="0.25">
      <c r="E51" s="131"/>
    </row>
  </sheetData>
  <mergeCells count="61">
    <mergeCell ref="E16:F16"/>
    <mergeCell ref="G16:H16"/>
    <mergeCell ref="E17:F17"/>
    <mergeCell ref="G17:H17"/>
    <mergeCell ref="E20:F20"/>
    <mergeCell ref="G20:H20"/>
    <mergeCell ref="E18:F18"/>
    <mergeCell ref="G18:H18"/>
    <mergeCell ref="E19:F19"/>
    <mergeCell ref="G19:H19"/>
    <mergeCell ref="B1:H1"/>
    <mergeCell ref="B22:H22"/>
    <mergeCell ref="B23:B24"/>
    <mergeCell ref="C23:C24"/>
    <mergeCell ref="D23:D24"/>
    <mergeCell ref="E23:E24"/>
    <mergeCell ref="F23:G23"/>
    <mergeCell ref="H23:H24"/>
    <mergeCell ref="B2:H3"/>
    <mergeCell ref="D5:E5"/>
    <mergeCell ref="B14:H14"/>
    <mergeCell ref="E15:F15"/>
    <mergeCell ref="G15:H15"/>
    <mergeCell ref="C20:D20"/>
    <mergeCell ref="C15:D15"/>
    <mergeCell ref="C16:D16"/>
    <mergeCell ref="F50:G50"/>
    <mergeCell ref="B36:H36"/>
    <mergeCell ref="E37:F37"/>
    <mergeCell ref="G37:H37"/>
    <mergeCell ref="E38:F38"/>
    <mergeCell ref="G38:H38"/>
    <mergeCell ref="G39:H39"/>
    <mergeCell ref="E40:F40"/>
    <mergeCell ref="G40:H40"/>
    <mergeCell ref="E42:F42"/>
    <mergeCell ref="G42:H42"/>
    <mergeCell ref="E39:F39"/>
    <mergeCell ref="E41:F41"/>
    <mergeCell ref="F43:G43"/>
    <mergeCell ref="F44:G44"/>
    <mergeCell ref="F45:G45"/>
    <mergeCell ref="C17:D17"/>
    <mergeCell ref="C18:D18"/>
    <mergeCell ref="C19:D19"/>
    <mergeCell ref="C40:D40"/>
    <mergeCell ref="C41:D41"/>
    <mergeCell ref="C47:E47"/>
    <mergeCell ref="C49:E49"/>
    <mergeCell ref="C42:D42"/>
    <mergeCell ref="M22:M23"/>
    <mergeCell ref="N22:N23"/>
    <mergeCell ref="C37:D37"/>
    <mergeCell ref="C38:D38"/>
    <mergeCell ref="C39:D39"/>
    <mergeCell ref="G41:H41"/>
    <mergeCell ref="F49:G49"/>
    <mergeCell ref="F46:G46"/>
    <mergeCell ref="F47:G47"/>
    <mergeCell ref="C43:E43"/>
    <mergeCell ref="C45:E45"/>
  </mergeCells>
  <printOptions horizontalCentered="1"/>
  <pageMargins left="0.19685039370078741" right="0.19685039370078741" top="0.15748031496062992" bottom="0.31496062992125984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51"/>
  <sheetViews>
    <sheetView topLeftCell="A13" zoomScale="110" zoomScaleNormal="110" workbookViewId="0">
      <selection activeCell="M13" sqref="M1:N1048576"/>
    </sheetView>
  </sheetViews>
  <sheetFormatPr defaultColWidth="9.140625" defaultRowHeight="15.75" outlineLevelRow="1" x14ac:dyDescent="0.25"/>
  <cols>
    <col min="1" max="1" width="2.85546875" style="3" customWidth="1"/>
    <col min="2" max="2" width="57" style="3" customWidth="1"/>
    <col min="3" max="3" width="21.28515625" style="135" customWidth="1"/>
    <col min="4" max="4" width="9.42578125" style="136" customWidth="1"/>
    <col min="5" max="5" width="10.140625" style="136" customWidth="1"/>
    <col min="6" max="6" width="10" style="3" customWidth="1"/>
    <col min="7" max="8" width="10.42578125" style="3" customWidth="1"/>
    <col min="9" max="9" width="12.28515625" style="3" customWidth="1"/>
    <col min="10" max="12" width="9.140625" style="3"/>
    <col min="13" max="13" width="15.85546875" style="194" customWidth="1"/>
    <col min="14" max="14" width="17.42578125" style="194" customWidth="1"/>
    <col min="15" max="16384" width="9.140625" style="3"/>
  </cols>
  <sheetData>
    <row r="1" spans="2:9" x14ac:dyDescent="0.25">
      <c r="B1" s="161" t="s">
        <v>116</v>
      </c>
      <c r="C1" s="161"/>
      <c r="D1" s="161"/>
      <c r="E1" s="161"/>
      <c r="F1" s="161"/>
      <c r="G1" s="161"/>
      <c r="H1" s="161"/>
    </row>
    <row r="2" spans="2:9" ht="19.5" customHeight="1" x14ac:dyDescent="0.25">
      <c r="B2" s="185" t="s">
        <v>162</v>
      </c>
      <c r="C2" s="185"/>
      <c r="D2" s="185"/>
      <c r="E2" s="185"/>
      <c r="F2" s="185"/>
      <c r="G2" s="185"/>
      <c r="H2" s="185"/>
    </row>
    <row r="3" spans="2:9" ht="20.25" customHeight="1" x14ac:dyDescent="0.25">
      <c r="B3" s="185"/>
      <c r="C3" s="185"/>
      <c r="D3" s="185"/>
      <c r="E3" s="185"/>
      <c r="F3" s="185"/>
      <c r="G3" s="185"/>
      <c r="H3" s="185"/>
    </row>
    <row r="4" spans="2:9" ht="14.25" customHeight="1" x14ac:dyDescent="0.25"/>
    <row r="5" spans="2:9" x14ac:dyDescent="0.25">
      <c r="B5" s="3" t="s">
        <v>0</v>
      </c>
      <c r="D5" s="172" t="s">
        <v>24</v>
      </c>
      <c r="E5" s="172"/>
    </row>
    <row r="6" spans="2:9" x14ac:dyDescent="0.25">
      <c r="B6" s="3" t="s">
        <v>1</v>
      </c>
      <c r="D6" s="126">
        <v>1980</v>
      </c>
      <c r="E6" s="126"/>
    </row>
    <row r="7" spans="2:9" hidden="1" outlineLevel="1" x14ac:dyDescent="0.25">
      <c r="B7" s="3" t="s">
        <v>2</v>
      </c>
      <c r="D7" s="126">
        <v>2</v>
      </c>
      <c r="E7" s="126"/>
    </row>
    <row r="8" spans="2:9" hidden="1" outlineLevel="1" x14ac:dyDescent="0.25">
      <c r="B8" s="3" t="s">
        <v>3</v>
      </c>
      <c r="D8" s="126">
        <v>17</v>
      </c>
      <c r="E8" s="126"/>
    </row>
    <row r="9" spans="2:9" ht="30.75" hidden="1" customHeight="1" outlineLevel="1" x14ac:dyDescent="0.25">
      <c r="B9" s="17" t="s">
        <v>4</v>
      </c>
      <c r="C9" s="18"/>
      <c r="D9" s="126" t="s">
        <v>25</v>
      </c>
      <c r="E9" s="126"/>
    </row>
    <row r="10" spans="2:9" collapsed="1" x14ac:dyDescent="0.25">
      <c r="B10" s="3" t="s">
        <v>5</v>
      </c>
      <c r="D10" s="126" t="s">
        <v>86</v>
      </c>
      <c r="E10" s="126"/>
      <c r="I10" s="12"/>
    </row>
    <row r="11" spans="2:9" hidden="1" outlineLevel="1" x14ac:dyDescent="0.25">
      <c r="B11" s="3" t="s">
        <v>6</v>
      </c>
      <c r="D11" s="126" t="s">
        <v>7</v>
      </c>
      <c r="E11" s="126"/>
    </row>
    <row r="12" spans="2:9" ht="30.75" hidden="1" customHeight="1" outlineLevel="1" x14ac:dyDescent="0.25">
      <c r="B12" s="17" t="s">
        <v>8</v>
      </c>
      <c r="C12" s="18"/>
      <c r="D12" s="138" t="s">
        <v>26</v>
      </c>
      <c r="E12" s="126"/>
      <c r="I12" s="12"/>
    </row>
    <row r="13" spans="2:9" ht="10.5" customHeight="1" collapsed="1" x14ac:dyDescent="0.25">
      <c r="B13" s="17"/>
      <c r="C13" s="18"/>
      <c r="D13" s="138"/>
      <c r="E13" s="126"/>
      <c r="I13" s="12"/>
    </row>
    <row r="14" spans="2:9" ht="16.5" thickBot="1" x14ac:dyDescent="0.3">
      <c r="B14" s="188" t="s">
        <v>157</v>
      </c>
      <c r="C14" s="188"/>
      <c r="D14" s="188"/>
      <c r="E14" s="188"/>
      <c r="F14" s="188"/>
      <c r="G14" s="188"/>
      <c r="H14" s="188"/>
      <c r="I14" s="12"/>
    </row>
    <row r="15" spans="2:9" ht="41.25" customHeight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  <c r="I15" s="12"/>
    </row>
    <row r="16" spans="2:9" x14ac:dyDescent="0.25">
      <c r="B16" s="111" t="s">
        <v>12</v>
      </c>
      <c r="C16" s="139">
        <v>783991.84000000008</v>
      </c>
      <c r="D16" s="140"/>
      <c r="E16" s="139">
        <v>630110.44000000006</v>
      </c>
      <c r="F16" s="140"/>
      <c r="G16" s="139">
        <v>153881.4</v>
      </c>
      <c r="H16" s="177"/>
      <c r="I16" s="12"/>
    </row>
    <row r="17" spans="2:14" x14ac:dyDescent="0.25">
      <c r="B17" s="52" t="s">
        <v>13</v>
      </c>
      <c r="C17" s="141">
        <v>728271.40999999992</v>
      </c>
      <c r="D17" s="142"/>
      <c r="E17" s="141">
        <v>585124.34</v>
      </c>
      <c r="F17" s="142"/>
      <c r="G17" s="141">
        <v>143147.07</v>
      </c>
      <c r="H17" s="146"/>
      <c r="I17" s="12"/>
    </row>
    <row r="18" spans="2:14" x14ac:dyDescent="0.25">
      <c r="B18" s="54" t="s">
        <v>87</v>
      </c>
      <c r="C18" s="141">
        <v>711278.63800000004</v>
      </c>
      <c r="D18" s="142"/>
      <c r="E18" s="141">
        <v>623356.63800000004</v>
      </c>
      <c r="F18" s="142"/>
      <c r="G18" s="141">
        <v>87922</v>
      </c>
      <c r="H18" s="146"/>
      <c r="I18" s="12"/>
    </row>
    <row r="19" spans="2:14" ht="16.5" thickBot="1" x14ac:dyDescent="0.3">
      <c r="B19" s="64" t="s">
        <v>148</v>
      </c>
      <c r="C19" s="147">
        <v>7200</v>
      </c>
      <c r="D19" s="148"/>
      <c r="E19" s="147">
        <v>7200</v>
      </c>
      <c r="F19" s="148"/>
      <c r="G19" s="147">
        <v>0</v>
      </c>
      <c r="H19" s="176"/>
      <c r="I19" s="12"/>
    </row>
    <row r="20" spans="2:14" ht="31.5" customHeight="1" thickBot="1" x14ac:dyDescent="0.3">
      <c r="B20" s="13" t="s">
        <v>149</v>
      </c>
      <c r="C20" s="156">
        <f>E20+G20</f>
        <v>24192.771999999939</v>
      </c>
      <c r="D20" s="157"/>
      <c r="E20" s="154">
        <f>E17+E19-E18</f>
        <v>-31032.298000000068</v>
      </c>
      <c r="F20" s="155"/>
      <c r="G20" s="154">
        <f>G17-G18</f>
        <v>55225.070000000007</v>
      </c>
      <c r="H20" s="158"/>
      <c r="I20" s="12"/>
    </row>
    <row r="21" spans="2:14" x14ac:dyDescent="0.25">
      <c r="B21" s="17"/>
      <c r="C21" s="18"/>
      <c r="D21" s="138"/>
      <c r="E21" s="126"/>
      <c r="I21" s="12"/>
    </row>
    <row r="22" spans="2:14" ht="21" customHeight="1" thickBot="1" x14ac:dyDescent="0.3">
      <c r="B22" s="193" t="s">
        <v>163</v>
      </c>
      <c r="C22" s="193"/>
      <c r="D22" s="193"/>
      <c r="E22" s="193"/>
      <c r="F22" s="193"/>
      <c r="G22" s="193"/>
      <c r="H22" s="193"/>
      <c r="I22" s="19"/>
      <c r="J22" s="19"/>
      <c r="L22" s="12"/>
      <c r="M22" s="195" t="s">
        <v>151</v>
      </c>
      <c r="N22" s="195" t="s">
        <v>152</v>
      </c>
    </row>
    <row r="23" spans="2:14" ht="27.75" customHeight="1" x14ac:dyDescent="0.25">
      <c r="B23" s="162" t="s">
        <v>101</v>
      </c>
      <c r="C23" s="164" t="s">
        <v>102</v>
      </c>
      <c r="D23" s="164" t="s">
        <v>103</v>
      </c>
      <c r="E23" s="166" t="s">
        <v>167</v>
      </c>
      <c r="F23" s="168" t="s">
        <v>104</v>
      </c>
      <c r="G23" s="169"/>
      <c r="H23" s="170" t="s">
        <v>123</v>
      </c>
      <c r="I23" s="20"/>
      <c r="J23" s="20"/>
      <c r="L23" s="12"/>
      <c r="M23" s="196"/>
      <c r="N23" s="196"/>
    </row>
    <row r="24" spans="2:14" ht="45" customHeight="1" thickBot="1" x14ac:dyDescent="0.3">
      <c r="B24" s="163"/>
      <c r="C24" s="165"/>
      <c r="D24" s="165"/>
      <c r="E24" s="167"/>
      <c r="F24" s="21" t="s">
        <v>92</v>
      </c>
      <c r="G24" s="22" t="s">
        <v>93</v>
      </c>
      <c r="H24" s="171"/>
      <c r="I24" s="20"/>
      <c r="J24" s="20"/>
      <c r="M24" s="197">
        <v>111087.91</v>
      </c>
      <c r="N24" s="197">
        <f>111087.91*1.01</f>
        <v>112198.78910000001</v>
      </c>
    </row>
    <row r="25" spans="2:14" ht="50.25" customHeight="1" x14ac:dyDescent="0.25">
      <c r="B25" s="23" t="s">
        <v>105</v>
      </c>
      <c r="C25" s="7" t="s">
        <v>121</v>
      </c>
      <c r="D25" s="24" t="s">
        <v>107</v>
      </c>
      <c r="E25" s="25">
        <v>1.06</v>
      </c>
      <c r="F25" s="26">
        <f>$M$24/$M$25*E25</f>
        <v>10666.049329710146</v>
      </c>
      <c r="G25" s="27">
        <f>$N$24/$N$25*E25</f>
        <v>10772.709823007248</v>
      </c>
      <c r="H25" s="28">
        <f>F25-G25</f>
        <v>-106.66049329710222</v>
      </c>
      <c r="I25" s="29"/>
      <c r="J25" s="29"/>
      <c r="K25" s="134"/>
      <c r="L25" s="31"/>
      <c r="M25" s="198">
        <f>E34-E32</f>
        <v>11.04</v>
      </c>
      <c r="N25" s="198">
        <f>E34-E32</f>
        <v>11.04</v>
      </c>
    </row>
    <row r="26" spans="2:14" ht="56.25" x14ac:dyDescent="0.25">
      <c r="B26" s="32" t="s">
        <v>99</v>
      </c>
      <c r="C26" s="7" t="s">
        <v>121</v>
      </c>
      <c r="D26" s="24" t="s">
        <v>107</v>
      </c>
      <c r="E26" s="8">
        <v>1.19</v>
      </c>
      <c r="F26" s="26">
        <f>$M$24/$M$25*E26</f>
        <v>11974.149719202898</v>
      </c>
      <c r="G26" s="27">
        <f>$N$24/$N$25*E26</f>
        <v>12093.89121639493</v>
      </c>
      <c r="H26" s="28">
        <f t="shared" ref="H26:H31" si="0">F26-G26</f>
        <v>-119.7414971920316</v>
      </c>
      <c r="I26" s="29"/>
      <c r="J26" s="29"/>
      <c r="K26" s="2"/>
      <c r="L26" s="2"/>
      <c r="M26" s="199"/>
      <c r="N26" s="199"/>
    </row>
    <row r="27" spans="2:14" ht="52.5" customHeight="1" x14ac:dyDescent="0.25">
      <c r="B27" s="33" t="s">
        <v>94</v>
      </c>
      <c r="C27" s="7" t="s">
        <v>121</v>
      </c>
      <c r="D27" s="24" t="s">
        <v>107</v>
      </c>
      <c r="E27" s="8">
        <v>0.32</v>
      </c>
      <c r="F27" s="26">
        <f t="shared" ref="F27:F33" si="1">$M$24/$M$25*E27</f>
        <v>3219.9394202898552</v>
      </c>
      <c r="G27" s="27">
        <f t="shared" ref="G27:G30" si="2">$N$24/$N$25*E27</f>
        <v>3252.1388144927541</v>
      </c>
      <c r="H27" s="28">
        <f t="shared" si="0"/>
        <v>-32.19939420289893</v>
      </c>
      <c r="I27" s="29"/>
      <c r="J27" s="29"/>
      <c r="L27" s="12"/>
    </row>
    <row r="28" spans="2:14" ht="25.5" x14ac:dyDescent="0.25">
      <c r="B28" s="33" t="s">
        <v>108</v>
      </c>
      <c r="C28" s="34" t="s">
        <v>109</v>
      </c>
      <c r="D28" s="24" t="s">
        <v>107</v>
      </c>
      <c r="E28" s="8">
        <v>0</v>
      </c>
      <c r="F28" s="26">
        <f t="shared" si="1"/>
        <v>0</v>
      </c>
      <c r="G28" s="27">
        <f t="shared" si="2"/>
        <v>0</v>
      </c>
      <c r="H28" s="28">
        <f t="shared" si="0"/>
        <v>0</v>
      </c>
      <c r="I28" s="29"/>
      <c r="J28" s="29"/>
      <c r="L28" s="12"/>
    </row>
    <row r="29" spans="2:14" ht="51" x14ac:dyDescent="0.25">
      <c r="B29" s="32" t="s">
        <v>95</v>
      </c>
      <c r="C29" s="7" t="s">
        <v>122</v>
      </c>
      <c r="D29" s="24" t="s">
        <v>107</v>
      </c>
      <c r="E29" s="8">
        <v>1.18</v>
      </c>
      <c r="F29" s="26">
        <f t="shared" si="1"/>
        <v>11873.526612318841</v>
      </c>
      <c r="G29" s="27">
        <f t="shared" si="2"/>
        <v>11992.26187844203</v>
      </c>
      <c r="H29" s="28">
        <f t="shared" si="0"/>
        <v>-118.73526612318892</v>
      </c>
      <c r="I29" s="29"/>
      <c r="J29" s="29"/>
    </row>
    <row r="30" spans="2:14" ht="227.25" customHeight="1" x14ac:dyDescent="0.25">
      <c r="B30" s="32" t="s">
        <v>119</v>
      </c>
      <c r="C30" s="35" t="s">
        <v>110</v>
      </c>
      <c r="D30" s="24" t="s">
        <v>107</v>
      </c>
      <c r="E30" s="8">
        <v>5.61</v>
      </c>
      <c r="F30" s="26">
        <f t="shared" si="1"/>
        <v>56449.56296195653</v>
      </c>
      <c r="G30" s="27">
        <f t="shared" si="2"/>
        <v>57014.058591576097</v>
      </c>
      <c r="H30" s="28">
        <f t="shared" si="0"/>
        <v>-564.4956296195669</v>
      </c>
      <c r="I30" s="29"/>
      <c r="J30" s="29"/>
      <c r="K30" s="2"/>
      <c r="L30" s="1"/>
      <c r="M30" s="199"/>
      <c r="N30" s="199"/>
    </row>
    <row r="31" spans="2:14" ht="129" customHeight="1" x14ac:dyDescent="0.25">
      <c r="B31" s="32" t="s">
        <v>111</v>
      </c>
      <c r="C31" s="7" t="s">
        <v>121</v>
      </c>
      <c r="D31" s="24" t="s">
        <v>107</v>
      </c>
      <c r="E31" s="8">
        <v>0.24</v>
      </c>
      <c r="F31" s="26">
        <f t="shared" si="1"/>
        <v>2414.9545652173915</v>
      </c>
      <c r="G31" s="27">
        <f t="shared" ref="G31" si="3">$N$24/$N$25*E31</f>
        <v>2439.1041108695654</v>
      </c>
      <c r="H31" s="28">
        <f t="shared" si="0"/>
        <v>-24.149545652173856</v>
      </c>
      <c r="I31" s="29"/>
      <c r="J31" s="29"/>
    </row>
    <row r="32" spans="2:14" ht="56.25" x14ac:dyDescent="0.25">
      <c r="B32" s="33" t="s">
        <v>112</v>
      </c>
      <c r="C32" s="7" t="s">
        <v>121</v>
      </c>
      <c r="D32" s="24" t="s">
        <v>107</v>
      </c>
      <c r="E32" s="8">
        <v>3.21</v>
      </c>
      <c r="F32" s="26">
        <v>33140.54</v>
      </c>
      <c r="G32" s="5">
        <v>15048</v>
      </c>
      <c r="H32" s="28">
        <f>F32-G32</f>
        <v>18092.54</v>
      </c>
      <c r="I32" s="29"/>
      <c r="J32" s="29"/>
      <c r="L32" s="12"/>
    </row>
    <row r="33" spans="2:14" ht="16.5" thickBot="1" x14ac:dyDescent="0.3">
      <c r="B33" s="36" t="s">
        <v>97</v>
      </c>
      <c r="C33" s="37" t="s">
        <v>110</v>
      </c>
      <c r="D33" s="38" t="s">
        <v>107</v>
      </c>
      <c r="E33" s="39">
        <f>1.16+0.28</f>
        <v>1.44</v>
      </c>
      <c r="F33" s="26">
        <f t="shared" si="1"/>
        <v>14489.727391304348</v>
      </c>
      <c r="G33" s="27">
        <f t="shared" ref="G33" si="4">$N$24/$N$25*E33</f>
        <v>14634.624665217394</v>
      </c>
      <c r="H33" s="40">
        <f>F33-G33</f>
        <v>-144.89727391304586</v>
      </c>
      <c r="I33" s="29"/>
      <c r="J33" s="29"/>
    </row>
    <row r="34" spans="2:14" ht="16.5" thickBot="1" x14ac:dyDescent="0.3">
      <c r="B34" s="41" t="s">
        <v>98</v>
      </c>
      <c r="C34" s="42"/>
      <c r="D34" s="42"/>
      <c r="E34" s="43">
        <f>SUM(E25:E33)</f>
        <v>14.249999999999998</v>
      </c>
      <c r="F34" s="44">
        <f>SUM(F25:F33)</f>
        <v>144228.45000000004</v>
      </c>
      <c r="G34" s="45">
        <f>SUM(G25:G33)</f>
        <v>127246.78910000002</v>
      </c>
      <c r="H34" s="46">
        <f>SUM(H25:H33)</f>
        <v>16981.660899999995</v>
      </c>
      <c r="I34" s="47"/>
      <c r="J34" s="47"/>
    </row>
    <row r="35" spans="2:14" x14ac:dyDescent="0.25">
      <c r="B35" s="12"/>
      <c r="C35" s="12"/>
      <c r="D35" s="12"/>
      <c r="E35" s="135"/>
      <c r="F35" s="135"/>
      <c r="G35" s="135"/>
      <c r="H35" s="136"/>
      <c r="I35" s="136"/>
      <c r="J35" s="136"/>
    </row>
    <row r="36" spans="2:14" ht="16.5" customHeight="1" thickBot="1" x14ac:dyDescent="0.3">
      <c r="B36" s="188" t="s">
        <v>165</v>
      </c>
      <c r="C36" s="188"/>
      <c r="D36" s="188"/>
      <c r="E36" s="188"/>
      <c r="F36" s="188"/>
      <c r="G36" s="188"/>
      <c r="H36" s="188"/>
      <c r="I36" s="48"/>
      <c r="J36" s="48"/>
    </row>
    <row r="37" spans="2:14" ht="44.25" customHeight="1" thickBot="1" x14ac:dyDescent="0.3">
      <c r="B37" s="110" t="s">
        <v>166</v>
      </c>
      <c r="C37" s="186" t="s">
        <v>113</v>
      </c>
      <c r="D37" s="187"/>
      <c r="E37" s="181" t="s">
        <v>10</v>
      </c>
      <c r="F37" s="189"/>
      <c r="G37" s="181" t="s">
        <v>11</v>
      </c>
      <c r="H37" s="182"/>
      <c r="I37" s="49"/>
      <c r="J37" s="49"/>
      <c r="K37" s="50"/>
      <c r="L37" s="51"/>
      <c r="M37" s="200"/>
      <c r="N37" s="200"/>
    </row>
    <row r="38" spans="2:14" x14ac:dyDescent="0.25">
      <c r="B38" s="111" t="s">
        <v>12</v>
      </c>
      <c r="C38" s="139">
        <f>E38+G38</f>
        <v>928220.29</v>
      </c>
      <c r="D38" s="140"/>
      <c r="E38" s="143">
        <f>F25+F26+F27+F28+F29+F30+F31+F33+E16</f>
        <v>741198.35000000009</v>
      </c>
      <c r="F38" s="144"/>
      <c r="G38" s="143">
        <f>F32+G16</f>
        <v>187021.94</v>
      </c>
      <c r="H38" s="145"/>
      <c r="I38" s="53"/>
      <c r="J38" s="53"/>
      <c r="K38" s="9"/>
      <c r="L38" s="9"/>
      <c r="M38" s="201"/>
    </row>
    <row r="39" spans="2:14" x14ac:dyDescent="0.25">
      <c r="B39" s="52" t="s">
        <v>13</v>
      </c>
      <c r="C39" s="141">
        <f>E39+G39</f>
        <v>862844.11999999988</v>
      </c>
      <c r="D39" s="142"/>
      <c r="E39" s="141">
        <f>E17+103650.85</f>
        <v>688775.19</v>
      </c>
      <c r="F39" s="142"/>
      <c r="G39" s="141">
        <f>G17+30921.86</f>
        <v>174068.93</v>
      </c>
      <c r="H39" s="146"/>
      <c r="I39" s="53"/>
      <c r="J39" s="53"/>
      <c r="K39" s="11"/>
      <c r="L39" s="9"/>
      <c r="M39" s="201"/>
    </row>
    <row r="40" spans="2:14" x14ac:dyDescent="0.25">
      <c r="B40" s="54" t="s">
        <v>87</v>
      </c>
      <c r="C40" s="141">
        <f>E40+G40</f>
        <v>838525.42710000009</v>
      </c>
      <c r="D40" s="142"/>
      <c r="E40" s="150">
        <f>G25+G26+G27+G28+G29+G30+G31+G33+E18</f>
        <v>735555.42710000009</v>
      </c>
      <c r="F40" s="151"/>
      <c r="G40" s="150">
        <f>G32+G18</f>
        <v>102970</v>
      </c>
      <c r="H40" s="152"/>
      <c r="I40" s="53"/>
      <c r="J40" s="53"/>
      <c r="K40" s="55"/>
      <c r="L40" s="55"/>
    </row>
    <row r="41" spans="2:14" ht="16.5" thickBot="1" x14ac:dyDescent="0.3">
      <c r="B41" s="64" t="s">
        <v>148</v>
      </c>
      <c r="C41" s="147">
        <f>E41+G41</f>
        <v>7500</v>
      </c>
      <c r="D41" s="148"/>
      <c r="E41" s="147">
        <f>E19+300</f>
        <v>7500</v>
      </c>
      <c r="F41" s="148"/>
      <c r="G41" s="147">
        <f>G19</f>
        <v>0</v>
      </c>
      <c r="H41" s="176"/>
      <c r="I41" s="53"/>
      <c r="J41" s="53"/>
      <c r="K41" s="55"/>
      <c r="L41" s="55"/>
    </row>
    <row r="42" spans="2:14" ht="25.5" thickBot="1" x14ac:dyDescent="0.3">
      <c r="B42" s="13" t="s">
        <v>150</v>
      </c>
      <c r="C42" s="156">
        <f>E42+G42</f>
        <v>31818.692899999849</v>
      </c>
      <c r="D42" s="157"/>
      <c r="E42" s="154">
        <f>E39+E41-E40</f>
        <v>-39280.237100000144</v>
      </c>
      <c r="F42" s="155"/>
      <c r="G42" s="154">
        <f>G39-G40</f>
        <v>71098.929999999993</v>
      </c>
      <c r="H42" s="158"/>
      <c r="I42" s="53"/>
      <c r="J42" s="53"/>
      <c r="K42" s="55"/>
      <c r="L42" s="55"/>
    </row>
    <row r="43" spans="2:14" ht="34.5" customHeight="1" x14ac:dyDescent="0.25">
      <c r="B43" s="128" t="s">
        <v>88</v>
      </c>
      <c r="C43" s="149" t="s">
        <v>155</v>
      </c>
      <c r="D43" s="149"/>
      <c r="E43" s="149"/>
      <c r="F43" s="153" t="s">
        <v>14</v>
      </c>
      <c r="G43" s="153"/>
      <c r="H43" s="128"/>
      <c r="I43" s="128"/>
      <c r="J43" s="128"/>
      <c r="K43" s="2"/>
      <c r="L43" s="2"/>
      <c r="M43" s="199"/>
      <c r="N43" s="199"/>
    </row>
    <row r="44" spans="2:14" ht="11.25" customHeight="1" x14ac:dyDescent="0.25">
      <c r="B44" s="128"/>
      <c r="C44" s="128"/>
      <c r="D44" s="128"/>
      <c r="E44" s="127"/>
      <c r="F44" s="160"/>
      <c r="G44" s="160"/>
      <c r="H44" s="129"/>
      <c r="I44" s="129"/>
      <c r="J44" s="129"/>
      <c r="K44" s="2"/>
      <c r="L44" s="2"/>
      <c r="M44" s="199"/>
      <c r="N44" s="199"/>
    </row>
    <row r="45" spans="2:14" x14ac:dyDescent="0.25">
      <c r="B45" s="128" t="s">
        <v>89</v>
      </c>
      <c r="C45" s="149" t="s">
        <v>155</v>
      </c>
      <c r="D45" s="149"/>
      <c r="E45" s="149"/>
      <c r="F45" s="153" t="s">
        <v>100</v>
      </c>
      <c r="G45" s="153"/>
      <c r="H45" s="128"/>
      <c r="I45" s="128"/>
      <c r="J45" s="128"/>
      <c r="K45" s="2"/>
      <c r="L45" s="2"/>
      <c r="M45" s="199"/>
      <c r="N45" s="199"/>
    </row>
    <row r="46" spans="2:14" ht="9.75" customHeight="1" x14ac:dyDescent="0.25">
      <c r="B46" s="128"/>
      <c r="C46" s="128"/>
      <c r="D46" s="128"/>
      <c r="E46" s="127"/>
      <c r="F46" s="153"/>
      <c r="G46" s="153"/>
      <c r="H46" s="128"/>
      <c r="I46" s="128"/>
      <c r="J46" s="128"/>
    </row>
    <row r="47" spans="2:14" x14ac:dyDescent="0.25">
      <c r="B47" s="128" t="s">
        <v>90</v>
      </c>
      <c r="C47" s="149" t="s">
        <v>155</v>
      </c>
      <c r="D47" s="149"/>
      <c r="E47" s="149"/>
      <c r="F47" s="153" t="s">
        <v>114</v>
      </c>
      <c r="G47" s="153"/>
      <c r="H47" s="128"/>
      <c r="I47" s="128"/>
      <c r="J47" s="128"/>
    </row>
    <row r="48" spans="2:14" ht="8.25" customHeight="1" x14ac:dyDescent="0.25">
      <c r="B48" s="56"/>
      <c r="C48" s="56"/>
      <c r="D48" s="56"/>
      <c r="E48" s="127"/>
      <c r="F48" s="57"/>
      <c r="G48" s="58"/>
      <c r="H48" s="59"/>
      <c r="I48" s="59"/>
      <c r="J48" s="59"/>
    </row>
    <row r="49" spans="2:7" x14ac:dyDescent="0.25">
      <c r="B49" s="128" t="s">
        <v>91</v>
      </c>
      <c r="C49" s="149" t="s">
        <v>155</v>
      </c>
      <c r="D49" s="149"/>
      <c r="E49" s="149"/>
      <c r="F49" s="153" t="s">
        <v>114</v>
      </c>
      <c r="G49" s="153"/>
    </row>
    <row r="50" spans="2:7" ht="9" customHeight="1" x14ac:dyDescent="0.25">
      <c r="B50" s="60"/>
      <c r="C50" s="60"/>
      <c r="D50" s="60"/>
      <c r="E50" s="127"/>
      <c r="F50" s="159"/>
      <c r="G50" s="159"/>
    </row>
    <row r="51" spans="2:7" x14ac:dyDescent="0.25">
      <c r="E51" s="131"/>
    </row>
  </sheetData>
  <mergeCells count="61">
    <mergeCell ref="C20:D20"/>
    <mergeCell ref="G17:H17"/>
    <mergeCell ref="E20:F20"/>
    <mergeCell ref="G20:H20"/>
    <mergeCell ref="E18:F18"/>
    <mergeCell ref="G18:H18"/>
    <mergeCell ref="E19:F19"/>
    <mergeCell ref="G19:H19"/>
    <mergeCell ref="F49:G49"/>
    <mergeCell ref="F50:G50"/>
    <mergeCell ref="F45:G45"/>
    <mergeCell ref="F46:G46"/>
    <mergeCell ref="F47:G47"/>
    <mergeCell ref="C41:D41"/>
    <mergeCell ref="C42:D42"/>
    <mergeCell ref="E40:F40"/>
    <mergeCell ref="G40:H40"/>
    <mergeCell ref="C43:E43"/>
    <mergeCell ref="F43:G43"/>
    <mergeCell ref="F44:G44"/>
    <mergeCell ref="E42:F42"/>
    <mergeCell ref="E41:F41"/>
    <mergeCell ref="G41:H41"/>
    <mergeCell ref="G42:H42"/>
    <mergeCell ref="B1:H1"/>
    <mergeCell ref="B22:H22"/>
    <mergeCell ref="B23:B24"/>
    <mergeCell ref="C23:C24"/>
    <mergeCell ref="D23:D24"/>
    <mergeCell ref="E23:E24"/>
    <mergeCell ref="F23:G23"/>
    <mergeCell ref="H23:H24"/>
    <mergeCell ref="B2:H3"/>
    <mergeCell ref="D5:E5"/>
    <mergeCell ref="B14:H14"/>
    <mergeCell ref="E15:F15"/>
    <mergeCell ref="G15:H15"/>
    <mergeCell ref="E16:F16"/>
    <mergeCell ref="G16:H16"/>
    <mergeCell ref="E17:F17"/>
    <mergeCell ref="C15:D15"/>
    <mergeCell ref="C16:D16"/>
    <mergeCell ref="C17:D17"/>
    <mergeCell ref="C18:D18"/>
    <mergeCell ref="C19:D19"/>
    <mergeCell ref="C45:E45"/>
    <mergeCell ref="C47:E47"/>
    <mergeCell ref="C49:E49"/>
    <mergeCell ref="M22:M23"/>
    <mergeCell ref="N22:N23"/>
    <mergeCell ref="C37:D37"/>
    <mergeCell ref="C38:D38"/>
    <mergeCell ref="C39:D39"/>
    <mergeCell ref="B36:H36"/>
    <mergeCell ref="E37:F37"/>
    <mergeCell ref="G37:H37"/>
    <mergeCell ref="E38:F38"/>
    <mergeCell ref="G38:H38"/>
    <mergeCell ref="E39:F39"/>
    <mergeCell ref="G39:H39"/>
    <mergeCell ref="C40:D40"/>
  </mergeCells>
  <printOptions horizontalCentered="1"/>
  <pageMargins left="0.19685039370078741" right="0.23622047244094491" top="0.19685039370078741" bottom="0.23622047244094491" header="0.31496062992125984" footer="0.31496062992125984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49"/>
  <sheetViews>
    <sheetView zoomScale="110" zoomScaleNormal="110" workbookViewId="0">
      <selection activeCell="B21" sqref="B21:H21"/>
    </sheetView>
  </sheetViews>
  <sheetFormatPr defaultColWidth="9.140625" defaultRowHeight="15.75" outlineLevelRow="1" x14ac:dyDescent="0.25"/>
  <cols>
    <col min="1" max="1" width="2.85546875" style="3" customWidth="1"/>
    <col min="2" max="2" width="55.42578125" style="3" customWidth="1"/>
    <col min="3" max="3" width="23.5703125" style="61" customWidth="1"/>
    <col min="4" max="4" width="8.28515625" style="136" customWidth="1"/>
    <col min="5" max="5" width="10.28515625" style="136" customWidth="1"/>
    <col min="6" max="6" width="9.5703125" style="3" customWidth="1"/>
    <col min="7" max="7" width="10.28515625" style="3" customWidth="1"/>
    <col min="8" max="8" width="10.7109375" style="3" customWidth="1"/>
    <col min="9" max="9" width="12.28515625" style="3" customWidth="1"/>
    <col min="10" max="12" width="9.140625" style="3"/>
    <col min="13" max="13" width="13.7109375" style="194" customWidth="1"/>
    <col min="14" max="14" width="15.5703125" style="194" customWidth="1"/>
    <col min="15" max="16384" width="9.140625" style="3"/>
  </cols>
  <sheetData>
    <row r="1" spans="2:9" x14ac:dyDescent="0.25">
      <c r="B1" s="161" t="s">
        <v>116</v>
      </c>
      <c r="C1" s="161"/>
      <c r="D1" s="161"/>
      <c r="E1" s="161"/>
      <c r="F1" s="161"/>
      <c r="G1" s="161"/>
      <c r="H1" s="161"/>
    </row>
    <row r="2" spans="2:9" ht="19.5" customHeight="1" x14ac:dyDescent="0.25">
      <c r="B2" s="185" t="s">
        <v>162</v>
      </c>
      <c r="C2" s="185"/>
      <c r="D2" s="185"/>
      <c r="E2" s="185"/>
      <c r="F2" s="185"/>
      <c r="G2" s="185"/>
      <c r="H2" s="185"/>
    </row>
    <row r="3" spans="2:9" ht="20.25" customHeight="1" x14ac:dyDescent="0.25">
      <c r="B3" s="185"/>
      <c r="C3" s="185"/>
      <c r="D3" s="185"/>
      <c r="E3" s="185"/>
      <c r="F3" s="185"/>
      <c r="G3" s="185"/>
      <c r="H3" s="185"/>
    </row>
    <row r="4" spans="2:9" ht="13.5" customHeight="1" x14ac:dyDescent="0.25"/>
    <row r="5" spans="2:9" x14ac:dyDescent="0.25">
      <c r="B5" s="3" t="s">
        <v>0</v>
      </c>
      <c r="D5" s="172" t="s">
        <v>27</v>
      </c>
      <c r="E5" s="172"/>
    </row>
    <row r="6" spans="2:9" x14ac:dyDescent="0.25">
      <c r="B6" s="3" t="s">
        <v>1</v>
      </c>
      <c r="D6" s="126">
        <v>1990</v>
      </c>
      <c r="E6" s="126"/>
    </row>
    <row r="7" spans="2:9" hidden="1" outlineLevel="1" x14ac:dyDescent="0.25">
      <c r="B7" s="3" t="s">
        <v>2</v>
      </c>
      <c r="D7" s="126">
        <v>3</v>
      </c>
      <c r="E7" s="126"/>
    </row>
    <row r="8" spans="2:9" hidden="1" outlineLevel="1" x14ac:dyDescent="0.25">
      <c r="B8" s="3" t="s">
        <v>3</v>
      </c>
      <c r="D8" s="126">
        <v>25</v>
      </c>
      <c r="E8" s="126"/>
    </row>
    <row r="9" spans="2:9" ht="30.75" hidden="1" customHeight="1" outlineLevel="1" x14ac:dyDescent="0.25">
      <c r="B9" s="17" t="s">
        <v>4</v>
      </c>
      <c r="C9" s="62"/>
      <c r="D9" s="126" t="s">
        <v>28</v>
      </c>
      <c r="E9" s="126"/>
    </row>
    <row r="10" spans="2:9" collapsed="1" x14ac:dyDescent="0.25">
      <c r="B10" s="3" t="s">
        <v>5</v>
      </c>
      <c r="D10" s="126" t="s">
        <v>128</v>
      </c>
      <c r="E10" s="126"/>
      <c r="I10" s="12"/>
    </row>
    <row r="11" spans="2:9" hidden="1" outlineLevel="1" x14ac:dyDescent="0.25">
      <c r="B11" s="3" t="s">
        <v>6</v>
      </c>
      <c r="D11" s="126" t="s">
        <v>7</v>
      </c>
      <c r="E11" s="126"/>
    </row>
    <row r="12" spans="2:9" ht="30.75" hidden="1" customHeight="1" outlineLevel="1" x14ac:dyDescent="0.25">
      <c r="B12" s="17" t="s">
        <v>8</v>
      </c>
      <c r="C12" s="62"/>
      <c r="D12" s="138" t="s">
        <v>29</v>
      </c>
      <c r="E12" s="126"/>
      <c r="I12" s="12"/>
    </row>
    <row r="13" spans="2:9" collapsed="1" x14ac:dyDescent="0.25">
      <c r="B13" s="17"/>
      <c r="C13" s="62"/>
      <c r="D13" s="138"/>
      <c r="E13" s="126"/>
      <c r="I13" s="12"/>
    </row>
    <row r="14" spans="2:9" ht="16.5" thickBot="1" x14ac:dyDescent="0.3">
      <c r="B14" s="188" t="s">
        <v>157</v>
      </c>
      <c r="C14" s="188"/>
      <c r="D14" s="188"/>
      <c r="E14" s="188"/>
      <c r="F14" s="188"/>
      <c r="G14" s="188"/>
      <c r="H14" s="188"/>
      <c r="I14" s="12"/>
    </row>
    <row r="15" spans="2:9" ht="45.75" customHeight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  <c r="I15" s="12"/>
    </row>
    <row r="16" spans="2:9" x14ac:dyDescent="0.25">
      <c r="B16" s="111" t="s">
        <v>12</v>
      </c>
      <c r="C16" s="139">
        <v>1674175.2</v>
      </c>
      <c r="D16" s="175"/>
      <c r="E16" s="143">
        <v>1148948.53</v>
      </c>
      <c r="F16" s="144"/>
      <c r="G16" s="143">
        <v>525226.66999999993</v>
      </c>
      <c r="H16" s="145"/>
      <c r="I16" s="12"/>
    </row>
    <row r="17" spans="2:14" x14ac:dyDescent="0.25">
      <c r="B17" s="52" t="s">
        <v>13</v>
      </c>
      <c r="C17" s="141">
        <v>1470862.9100000001</v>
      </c>
      <c r="D17" s="173"/>
      <c r="E17" s="141">
        <v>1009453.89</v>
      </c>
      <c r="F17" s="142"/>
      <c r="G17" s="141">
        <v>461409.02</v>
      </c>
      <c r="H17" s="146"/>
      <c r="I17" s="12"/>
    </row>
    <row r="18" spans="2:14" ht="16.5" thickBot="1" x14ac:dyDescent="0.3">
      <c r="B18" s="54" t="s">
        <v>87</v>
      </c>
      <c r="C18" s="147">
        <v>1573597.7798000001</v>
      </c>
      <c r="D18" s="174"/>
      <c r="E18" s="150">
        <v>1138082.7798000001</v>
      </c>
      <c r="F18" s="151"/>
      <c r="G18" s="150">
        <v>435515</v>
      </c>
      <c r="H18" s="152"/>
      <c r="I18" s="12"/>
    </row>
    <row r="19" spans="2:14" ht="36.75" thickBot="1" x14ac:dyDescent="0.3">
      <c r="B19" s="13" t="s">
        <v>149</v>
      </c>
      <c r="C19" s="156">
        <f>E19+G19</f>
        <v>-102734.8698000001</v>
      </c>
      <c r="D19" s="157"/>
      <c r="E19" s="154">
        <f>E17-E18</f>
        <v>-128628.88980000012</v>
      </c>
      <c r="F19" s="155"/>
      <c r="G19" s="154">
        <f>G17-G18</f>
        <v>25894.020000000019</v>
      </c>
      <c r="H19" s="158"/>
      <c r="I19" s="12"/>
    </row>
    <row r="20" spans="2:14" x14ac:dyDescent="0.25">
      <c r="B20" s="17"/>
      <c r="C20" s="62"/>
      <c r="D20" s="138"/>
      <c r="E20" s="126"/>
      <c r="I20" s="12"/>
    </row>
    <row r="21" spans="2:14" ht="24" customHeight="1" thickBot="1" x14ac:dyDescent="0.3">
      <c r="B21" s="193" t="s">
        <v>163</v>
      </c>
      <c r="C21" s="193"/>
      <c r="D21" s="193"/>
      <c r="E21" s="193"/>
      <c r="F21" s="193"/>
      <c r="G21" s="193"/>
      <c r="H21" s="193"/>
      <c r="I21" s="19"/>
      <c r="J21" s="19"/>
      <c r="L21" s="12"/>
      <c r="M21" s="195" t="s">
        <v>151</v>
      </c>
      <c r="N21" s="195" t="s">
        <v>152</v>
      </c>
    </row>
    <row r="22" spans="2:14" ht="27.75" customHeight="1" x14ac:dyDescent="0.25">
      <c r="B22" s="162" t="s">
        <v>101</v>
      </c>
      <c r="C22" s="164" t="s">
        <v>102</v>
      </c>
      <c r="D22" s="164" t="s">
        <v>103</v>
      </c>
      <c r="E22" s="166" t="s">
        <v>164</v>
      </c>
      <c r="F22" s="168" t="s">
        <v>104</v>
      </c>
      <c r="G22" s="169"/>
      <c r="H22" s="170" t="s">
        <v>123</v>
      </c>
      <c r="I22" s="20"/>
      <c r="J22" s="20"/>
      <c r="L22" s="12"/>
      <c r="M22" s="196"/>
      <c r="N22" s="196"/>
    </row>
    <row r="23" spans="2:14" ht="45" customHeight="1" thickBot="1" x14ac:dyDescent="0.3">
      <c r="B23" s="163"/>
      <c r="C23" s="165"/>
      <c r="D23" s="165"/>
      <c r="E23" s="167"/>
      <c r="F23" s="21" t="s">
        <v>92</v>
      </c>
      <c r="G23" s="22" t="s">
        <v>93</v>
      </c>
      <c r="H23" s="171"/>
      <c r="I23" s="20"/>
      <c r="J23" s="20"/>
      <c r="M23" s="197">
        <v>193372.82</v>
      </c>
      <c r="N23" s="197">
        <f>193372.82*1.01</f>
        <v>195306.54820000002</v>
      </c>
    </row>
    <row r="24" spans="2:14" ht="50.25" customHeight="1" x14ac:dyDescent="0.25">
      <c r="B24" s="23" t="s">
        <v>105</v>
      </c>
      <c r="C24" s="7" t="s">
        <v>121</v>
      </c>
      <c r="D24" s="24" t="s">
        <v>107</v>
      </c>
      <c r="E24" s="25">
        <v>1.06</v>
      </c>
      <c r="F24" s="26">
        <f>$M$23/$M$24*E24</f>
        <v>19210.420731021561</v>
      </c>
      <c r="G24" s="27">
        <f>$N$23/$N$24*E24</f>
        <v>19402.524938331775</v>
      </c>
      <c r="H24" s="28">
        <f>F24-G24</f>
        <v>-192.10420731021441</v>
      </c>
      <c r="I24" s="29"/>
      <c r="J24" s="29"/>
      <c r="K24" s="134"/>
      <c r="L24" s="31"/>
      <c r="M24" s="198">
        <f>E33-E31</f>
        <v>10.669999999999998</v>
      </c>
      <c r="N24" s="198">
        <f>E33-E31</f>
        <v>10.669999999999998</v>
      </c>
    </row>
    <row r="25" spans="2:14" ht="51" x14ac:dyDescent="0.25">
      <c r="B25" s="32" t="s">
        <v>99</v>
      </c>
      <c r="C25" s="7" t="s">
        <v>121</v>
      </c>
      <c r="D25" s="24" t="s">
        <v>107</v>
      </c>
      <c r="E25" s="8">
        <v>1.19</v>
      </c>
      <c r="F25" s="26">
        <f>$M$23/$M$24*E25</f>
        <v>21566.415726335526</v>
      </c>
      <c r="G25" s="27">
        <f>$N$23/$N$24*E25</f>
        <v>21782.079883598879</v>
      </c>
      <c r="H25" s="28">
        <f t="shared" ref="H25:H30" si="0">F25-G25</f>
        <v>-215.66415726335254</v>
      </c>
      <c r="I25" s="29"/>
      <c r="J25" s="29"/>
      <c r="K25" s="2"/>
      <c r="L25" s="2"/>
      <c r="M25" s="199"/>
      <c r="N25" s="199"/>
    </row>
    <row r="26" spans="2:14" ht="52.5" customHeight="1" x14ac:dyDescent="0.25">
      <c r="B26" s="33" t="s">
        <v>94</v>
      </c>
      <c r="C26" s="7" t="s">
        <v>121</v>
      </c>
      <c r="D26" s="24" t="s">
        <v>107</v>
      </c>
      <c r="E26" s="8">
        <v>0.32</v>
      </c>
      <c r="F26" s="26">
        <f t="shared" ref="F26:F32" si="1">$M$23/$M$24*E26</f>
        <v>5799.3722961574522</v>
      </c>
      <c r="G26" s="27">
        <f t="shared" ref="G26:G29" si="2">$N$23/$N$24*E26</f>
        <v>5857.3660191190265</v>
      </c>
      <c r="H26" s="28">
        <f t="shared" si="0"/>
        <v>-57.993722961574349</v>
      </c>
      <c r="I26" s="29"/>
      <c r="J26" s="29"/>
      <c r="L26" s="12"/>
    </row>
    <row r="27" spans="2:14" ht="25.5" x14ac:dyDescent="0.25">
      <c r="B27" s="33" t="s">
        <v>108</v>
      </c>
      <c r="C27" s="34" t="s">
        <v>109</v>
      </c>
      <c r="D27" s="24" t="s">
        <v>107</v>
      </c>
      <c r="E27" s="8">
        <v>0.5</v>
      </c>
      <c r="F27" s="26">
        <f>($M$23/12*2)/$M$24*E27</f>
        <v>1510.2532021243364</v>
      </c>
      <c r="G27" s="27">
        <f>($N$23/12*2)/$N$24*E27</f>
        <v>1525.3557341455801</v>
      </c>
      <c r="H27" s="28">
        <f t="shared" si="0"/>
        <v>-15.102532021243633</v>
      </c>
      <c r="I27" s="29"/>
      <c r="J27" s="29"/>
      <c r="L27" s="12"/>
    </row>
    <row r="28" spans="2:14" ht="51" x14ac:dyDescent="0.25">
      <c r="B28" s="32" t="s">
        <v>95</v>
      </c>
      <c r="C28" s="7" t="s">
        <v>122</v>
      </c>
      <c r="D28" s="24" t="s">
        <v>107</v>
      </c>
      <c r="E28" s="8">
        <v>1.18</v>
      </c>
      <c r="F28" s="26">
        <f t="shared" si="1"/>
        <v>21385.185342080604</v>
      </c>
      <c r="G28" s="27">
        <f t="shared" si="2"/>
        <v>21599.037195501409</v>
      </c>
      <c r="H28" s="28">
        <f t="shared" si="0"/>
        <v>-213.85185342080513</v>
      </c>
      <c r="I28" s="29"/>
      <c r="J28" s="29"/>
    </row>
    <row r="29" spans="2:14" ht="228" customHeight="1" x14ac:dyDescent="0.25">
      <c r="B29" s="32" t="s">
        <v>119</v>
      </c>
      <c r="C29" s="35" t="s">
        <v>110</v>
      </c>
      <c r="D29" s="24" t="s">
        <v>107</v>
      </c>
      <c r="E29" s="8">
        <v>5.61</v>
      </c>
      <c r="F29" s="26">
        <f t="shared" si="1"/>
        <v>101670.24556701035</v>
      </c>
      <c r="G29" s="27">
        <f t="shared" si="2"/>
        <v>102686.94802268044</v>
      </c>
      <c r="H29" s="28">
        <f t="shared" si="0"/>
        <v>-1016.7024556700926</v>
      </c>
      <c r="I29" s="29"/>
      <c r="J29" s="29"/>
      <c r="K29" s="2"/>
      <c r="L29" s="1"/>
      <c r="M29" s="199"/>
      <c r="N29" s="199"/>
    </row>
    <row r="30" spans="2:14" ht="108.75" customHeight="1" x14ac:dyDescent="0.25">
      <c r="B30" s="32" t="s">
        <v>111</v>
      </c>
      <c r="C30" s="7" t="s">
        <v>121</v>
      </c>
      <c r="D30" s="24" t="s">
        <v>107</v>
      </c>
      <c r="E30" s="8">
        <v>0.24</v>
      </c>
      <c r="F30" s="26">
        <f t="shared" si="1"/>
        <v>4349.5292221180889</v>
      </c>
      <c r="G30" s="27">
        <f t="shared" ref="G30" si="3">$N$23/$N$24*E30</f>
        <v>4393.0245143392694</v>
      </c>
      <c r="H30" s="28">
        <f t="shared" si="0"/>
        <v>-43.495292221180534</v>
      </c>
      <c r="I30" s="29"/>
      <c r="J30" s="29"/>
    </row>
    <row r="31" spans="2:14" ht="51.75" customHeight="1" x14ac:dyDescent="0.25">
      <c r="B31" s="33" t="s">
        <v>112</v>
      </c>
      <c r="C31" s="7" t="s">
        <v>121</v>
      </c>
      <c r="D31" s="24" t="s">
        <v>107</v>
      </c>
      <c r="E31" s="8">
        <v>5.41</v>
      </c>
      <c r="F31" s="26">
        <v>101077</v>
      </c>
      <c r="G31" s="5">
        <v>38036</v>
      </c>
      <c r="H31" s="28">
        <f>F31-G31</f>
        <v>63041</v>
      </c>
      <c r="I31" s="29"/>
      <c r="J31" s="29"/>
      <c r="L31" s="12"/>
    </row>
    <row r="32" spans="2:14" ht="16.5" thickBot="1" x14ac:dyDescent="0.3">
      <c r="B32" s="36" t="s">
        <v>97</v>
      </c>
      <c r="C32" s="37" t="s">
        <v>110</v>
      </c>
      <c r="D32" s="38" t="s">
        <v>107</v>
      </c>
      <c r="E32" s="39">
        <f>0.75-0.18</f>
        <v>0.57000000000000006</v>
      </c>
      <c r="F32" s="26">
        <f t="shared" si="1"/>
        <v>10330.131902530464</v>
      </c>
      <c r="G32" s="27">
        <f t="shared" ref="G32" si="4">$N$23/$N$24*E32</f>
        <v>10433.433221555768</v>
      </c>
      <c r="H32" s="40">
        <f>F32-G32</f>
        <v>-103.30131902530411</v>
      </c>
      <c r="I32" s="29"/>
      <c r="J32" s="29"/>
    </row>
    <row r="33" spans="2:14" ht="16.5" thickBot="1" x14ac:dyDescent="0.3">
      <c r="B33" s="41" t="s">
        <v>98</v>
      </c>
      <c r="C33" s="42"/>
      <c r="D33" s="42"/>
      <c r="E33" s="43">
        <f>SUM(E24:E32)</f>
        <v>16.079999999999998</v>
      </c>
      <c r="F33" s="44">
        <f>SUM(F24:F32)</f>
        <v>286898.55398937839</v>
      </c>
      <c r="G33" s="45">
        <f>SUM(G24:G32)</f>
        <v>225715.76952927216</v>
      </c>
      <c r="H33" s="46">
        <f>SUM(H24:H32)</f>
        <v>61182.784460106232</v>
      </c>
      <c r="I33" s="47"/>
      <c r="J33" s="47"/>
    </row>
    <row r="34" spans="2:14" x14ac:dyDescent="0.25">
      <c r="B34" s="12"/>
      <c r="C34" s="12"/>
      <c r="D34" s="12"/>
      <c r="E34" s="135"/>
      <c r="F34" s="135"/>
      <c r="G34" s="135"/>
      <c r="H34" s="136"/>
      <c r="I34" s="136"/>
      <c r="J34" s="136"/>
    </row>
    <row r="35" spans="2:14" ht="16.5" customHeight="1" thickBot="1" x14ac:dyDescent="0.3">
      <c r="B35" s="188" t="s">
        <v>165</v>
      </c>
      <c r="C35" s="188"/>
      <c r="D35" s="188"/>
      <c r="E35" s="188"/>
      <c r="F35" s="188"/>
      <c r="G35" s="188"/>
      <c r="H35" s="188"/>
      <c r="I35" s="48"/>
      <c r="J35" s="48"/>
    </row>
    <row r="36" spans="2:14" ht="44.25" customHeight="1" thickBot="1" x14ac:dyDescent="0.3">
      <c r="B36" s="110" t="s">
        <v>166</v>
      </c>
      <c r="C36" s="186" t="s">
        <v>113</v>
      </c>
      <c r="D36" s="187"/>
      <c r="E36" s="181" t="s">
        <v>10</v>
      </c>
      <c r="F36" s="189"/>
      <c r="G36" s="181" t="s">
        <v>11</v>
      </c>
      <c r="H36" s="182"/>
      <c r="I36" s="49"/>
      <c r="J36" s="49"/>
      <c r="K36" s="50"/>
      <c r="L36" s="51"/>
      <c r="M36" s="200"/>
      <c r="N36" s="200"/>
    </row>
    <row r="37" spans="2:14" x14ac:dyDescent="0.25">
      <c r="B37" s="111" t="s">
        <v>12</v>
      </c>
      <c r="C37" s="139">
        <f>E37+G37</f>
        <v>1961073.7539893785</v>
      </c>
      <c r="D37" s="140"/>
      <c r="E37" s="143">
        <f>F24+F25+F26+F27+F28+F29+F30+F32+E16</f>
        <v>1334770.0839893785</v>
      </c>
      <c r="F37" s="144"/>
      <c r="G37" s="143">
        <f>F31+G16</f>
        <v>626303.66999999993</v>
      </c>
      <c r="H37" s="145"/>
      <c r="I37" s="53"/>
      <c r="J37" s="53"/>
      <c r="K37" s="9"/>
      <c r="L37" s="9"/>
      <c r="M37" s="201"/>
    </row>
    <row r="38" spans="2:14" x14ac:dyDescent="0.25">
      <c r="B38" s="52" t="s">
        <v>13</v>
      </c>
      <c r="C38" s="141">
        <f>E38+G38</f>
        <v>1721499.95</v>
      </c>
      <c r="D38" s="142"/>
      <c r="E38" s="141">
        <f>E17+164599.83</f>
        <v>1174053.72</v>
      </c>
      <c r="F38" s="142"/>
      <c r="G38" s="141">
        <f>G17+86037.21</f>
        <v>547446.23</v>
      </c>
      <c r="H38" s="146"/>
      <c r="I38" s="53"/>
      <c r="J38" s="53"/>
      <c r="K38" s="11"/>
      <c r="L38" s="9"/>
      <c r="M38" s="201"/>
    </row>
    <row r="39" spans="2:14" ht="16.5" thickBot="1" x14ac:dyDescent="0.3">
      <c r="B39" s="54" t="s">
        <v>87</v>
      </c>
      <c r="C39" s="147">
        <f>E39+G39</f>
        <v>1799313.5493292722</v>
      </c>
      <c r="D39" s="148"/>
      <c r="E39" s="150">
        <f>G24+G25+G26+G27+G28+G29+G30+G32+E18</f>
        <v>1325762.5493292722</v>
      </c>
      <c r="F39" s="151"/>
      <c r="G39" s="150">
        <f>G31+G18</f>
        <v>473551</v>
      </c>
      <c r="H39" s="152"/>
      <c r="I39" s="53"/>
      <c r="J39" s="53"/>
      <c r="K39" s="55"/>
      <c r="L39" s="55"/>
    </row>
    <row r="40" spans="2:14" ht="36.75" thickBot="1" x14ac:dyDescent="0.3">
      <c r="B40" s="13" t="s">
        <v>150</v>
      </c>
      <c r="C40" s="156">
        <f>E40+G40</f>
        <v>-77813.599329272285</v>
      </c>
      <c r="D40" s="157"/>
      <c r="E40" s="154">
        <f>E38-E39</f>
        <v>-151708.82932927227</v>
      </c>
      <c r="F40" s="155"/>
      <c r="G40" s="154">
        <f>G38-G39</f>
        <v>73895.229999999981</v>
      </c>
      <c r="H40" s="158"/>
      <c r="I40" s="53"/>
      <c r="J40" s="53"/>
      <c r="K40" s="55"/>
      <c r="L40" s="55"/>
    </row>
    <row r="41" spans="2:14" ht="34.5" customHeight="1" x14ac:dyDescent="0.25">
      <c r="B41" s="128" t="s">
        <v>88</v>
      </c>
      <c r="C41" s="149" t="s">
        <v>155</v>
      </c>
      <c r="D41" s="149"/>
      <c r="E41" s="149"/>
      <c r="F41" s="153" t="s">
        <v>14</v>
      </c>
      <c r="G41" s="153"/>
      <c r="H41" s="128"/>
      <c r="I41" s="128"/>
      <c r="J41" s="128"/>
      <c r="K41" s="2"/>
      <c r="L41" s="2"/>
      <c r="M41" s="199"/>
      <c r="N41" s="199"/>
    </row>
    <row r="42" spans="2:14" ht="11.25" customHeight="1" x14ac:dyDescent="0.25">
      <c r="B42" s="128"/>
      <c r="C42" s="128"/>
      <c r="D42" s="128"/>
      <c r="E42" s="127"/>
      <c r="F42" s="160"/>
      <c r="G42" s="160"/>
      <c r="H42" s="129"/>
      <c r="I42" s="129"/>
      <c r="J42" s="129"/>
      <c r="K42" s="2"/>
      <c r="L42" s="2"/>
      <c r="M42" s="199"/>
      <c r="N42" s="199"/>
    </row>
    <row r="43" spans="2:14" x14ac:dyDescent="0.25">
      <c r="B43" s="128" t="s">
        <v>89</v>
      </c>
      <c r="C43" s="149" t="s">
        <v>155</v>
      </c>
      <c r="D43" s="149"/>
      <c r="E43" s="149"/>
      <c r="F43" s="153" t="s">
        <v>100</v>
      </c>
      <c r="G43" s="153"/>
      <c r="H43" s="128"/>
      <c r="I43" s="128"/>
      <c r="J43" s="128"/>
      <c r="K43" s="2"/>
      <c r="L43" s="2"/>
      <c r="M43" s="199"/>
      <c r="N43" s="199"/>
    </row>
    <row r="44" spans="2:14" ht="9.75" customHeight="1" x14ac:dyDescent="0.25">
      <c r="B44" s="128"/>
      <c r="C44" s="128"/>
      <c r="D44" s="128"/>
      <c r="E44" s="127"/>
      <c r="F44" s="153"/>
      <c r="G44" s="153"/>
      <c r="H44" s="128"/>
      <c r="I44" s="128"/>
      <c r="J44" s="128"/>
    </row>
    <row r="45" spans="2:14" x14ac:dyDescent="0.25">
      <c r="B45" s="128" t="s">
        <v>90</v>
      </c>
      <c r="C45" s="149" t="s">
        <v>155</v>
      </c>
      <c r="D45" s="149"/>
      <c r="E45" s="149"/>
      <c r="F45" s="153" t="s">
        <v>114</v>
      </c>
      <c r="G45" s="153"/>
      <c r="H45" s="128"/>
      <c r="I45" s="128"/>
      <c r="J45" s="128"/>
    </row>
    <row r="46" spans="2:14" ht="8.25" customHeight="1" x14ac:dyDescent="0.25">
      <c r="B46" s="56"/>
      <c r="C46" s="56"/>
      <c r="D46" s="56"/>
      <c r="E46" s="127"/>
      <c r="F46" s="57"/>
      <c r="G46" s="58"/>
      <c r="H46" s="59"/>
      <c r="I46" s="59"/>
      <c r="J46" s="59"/>
    </row>
    <row r="47" spans="2:14" x14ac:dyDescent="0.25">
      <c r="B47" s="128" t="s">
        <v>91</v>
      </c>
      <c r="C47" s="149" t="s">
        <v>155</v>
      </c>
      <c r="D47" s="149"/>
      <c r="E47" s="149"/>
      <c r="F47" s="153" t="s">
        <v>114</v>
      </c>
      <c r="G47" s="153"/>
    </row>
    <row r="48" spans="2:14" ht="9" customHeight="1" x14ac:dyDescent="0.25">
      <c r="B48" s="60"/>
      <c r="C48" s="60"/>
      <c r="D48" s="60"/>
      <c r="E48" s="127"/>
      <c r="F48" s="159"/>
      <c r="G48" s="159"/>
    </row>
    <row r="49" spans="3:5" x14ac:dyDescent="0.25">
      <c r="C49" s="135"/>
      <c r="E49" s="131"/>
    </row>
  </sheetData>
  <mergeCells count="55">
    <mergeCell ref="F48:G48"/>
    <mergeCell ref="F43:G43"/>
    <mergeCell ref="F44:G44"/>
    <mergeCell ref="F45:G45"/>
    <mergeCell ref="E16:F16"/>
    <mergeCell ref="G16:H16"/>
    <mergeCell ref="E17:F17"/>
    <mergeCell ref="G17:H17"/>
    <mergeCell ref="E18:F18"/>
    <mergeCell ref="G18:H18"/>
    <mergeCell ref="E19:F19"/>
    <mergeCell ref="G19:H19"/>
    <mergeCell ref="G40:H40"/>
    <mergeCell ref="F41:G41"/>
    <mergeCell ref="F42:G42"/>
    <mergeCell ref="E40:F40"/>
    <mergeCell ref="B1:H1"/>
    <mergeCell ref="B21:H21"/>
    <mergeCell ref="B22:B23"/>
    <mergeCell ref="C22:C23"/>
    <mergeCell ref="D22:D23"/>
    <mergeCell ref="E22:E23"/>
    <mergeCell ref="F22:G22"/>
    <mergeCell ref="H22:H23"/>
    <mergeCell ref="B2:H3"/>
    <mergeCell ref="D5:E5"/>
    <mergeCell ref="B14:H14"/>
    <mergeCell ref="E15:F15"/>
    <mergeCell ref="G15:H15"/>
    <mergeCell ref="C15:D15"/>
    <mergeCell ref="C16:D16"/>
    <mergeCell ref="C17:D17"/>
    <mergeCell ref="C18:D18"/>
    <mergeCell ref="C19:D19"/>
    <mergeCell ref="C40:D40"/>
    <mergeCell ref="M21:M22"/>
    <mergeCell ref="E39:F39"/>
    <mergeCell ref="G39:H39"/>
    <mergeCell ref="C39:D39"/>
    <mergeCell ref="C41:E41"/>
    <mergeCell ref="C43:E43"/>
    <mergeCell ref="C45:E45"/>
    <mergeCell ref="C47:E47"/>
    <mergeCell ref="N21:N22"/>
    <mergeCell ref="C36:D36"/>
    <mergeCell ref="C37:D37"/>
    <mergeCell ref="C38:D38"/>
    <mergeCell ref="B35:H35"/>
    <mergeCell ref="E36:F36"/>
    <mergeCell ref="G36:H36"/>
    <mergeCell ref="E37:F37"/>
    <mergeCell ref="G37:H37"/>
    <mergeCell ref="E38:F38"/>
    <mergeCell ref="G38:H38"/>
    <mergeCell ref="F47:G47"/>
  </mergeCells>
  <printOptions horizontalCentered="1"/>
  <pageMargins left="0.19685039370078741" right="0.19685039370078741" top="0.19685039370078741" bottom="0.23622047244094491" header="0.31496062992125984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48"/>
  <sheetViews>
    <sheetView topLeftCell="A13" zoomScale="110" zoomScaleNormal="110" workbookViewId="0">
      <selection activeCell="J25" sqref="J25"/>
    </sheetView>
  </sheetViews>
  <sheetFormatPr defaultColWidth="9.140625" defaultRowHeight="15.75" outlineLevelRow="1" x14ac:dyDescent="0.25"/>
  <cols>
    <col min="1" max="1" width="2.85546875" style="3" customWidth="1"/>
    <col min="2" max="2" width="56" style="3" customWidth="1"/>
    <col min="3" max="3" width="23.28515625" style="61" customWidth="1"/>
    <col min="4" max="4" width="9.140625" style="136" customWidth="1"/>
    <col min="5" max="5" width="9.42578125" style="136" customWidth="1"/>
    <col min="6" max="6" width="9.85546875" style="3" customWidth="1"/>
    <col min="7" max="7" width="10.28515625" style="3" customWidth="1"/>
    <col min="8" max="8" width="10.5703125" style="3" customWidth="1"/>
    <col min="9" max="9" width="12.28515625" style="3" customWidth="1"/>
    <col min="10" max="12" width="9.140625" style="3"/>
    <col min="13" max="13" width="14" style="194" customWidth="1"/>
    <col min="14" max="14" width="14.7109375" style="194" customWidth="1"/>
    <col min="15" max="16384" width="9.140625" style="3"/>
  </cols>
  <sheetData>
    <row r="1" spans="1:9" x14ac:dyDescent="0.25">
      <c r="B1" s="161" t="s">
        <v>116</v>
      </c>
      <c r="C1" s="161"/>
      <c r="D1" s="161"/>
      <c r="E1" s="161"/>
      <c r="F1" s="161"/>
      <c r="G1" s="161"/>
      <c r="H1" s="161"/>
    </row>
    <row r="2" spans="1:9" ht="19.5" customHeight="1" x14ac:dyDescent="0.3">
      <c r="A2" s="14"/>
      <c r="B2" s="185" t="s">
        <v>162</v>
      </c>
      <c r="C2" s="185"/>
      <c r="D2" s="185"/>
      <c r="E2" s="185"/>
      <c r="F2" s="185"/>
      <c r="G2" s="185"/>
      <c r="H2" s="185"/>
    </row>
    <row r="3" spans="1:9" ht="20.25" customHeight="1" x14ac:dyDescent="0.3">
      <c r="A3" s="14"/>
      <c r="B3" s="185"/>
      <c r="C3" s="185"/>
      <c r="D3" s="185"/>
      <c r="E3" s="185"/>
      <c r="F3" s="185"/>
      <c r="G3" s="185"/>
      <c r="H3" s="185"/>
    </row>
    <row r="4" spans="1:9" ht="16.5" customHeight="1" x14ac:dyDescent="0.25"/>
    <row r="5" spans="1:9" x14ac:dyDescent="0.25">
      <c r="B5" s="3" t="s">
        <v>0</v>
      </c>
      <c r="D5" s="172" t="s">
        <v>30</v>
      </c>
      <c r="E5" s="172"/>
    </row>
    <row r="6" spans="1:9" x14ac:dyDescent="0.25">
      <c r="B6" s="3" t="s">
        <v>1</v>
      </c>
      <c r="D6" s="126">
        <v>1992</v>
      </c>
      <c r="E6" s="126"/>
    </row>
    <row r="7" spans="1:9" hidden="1" outlineLevel="1" x14ac:dyDescent="0.25">
      <c r="B7" s="3" t="s">
        <v>2</v>
      </c>
      <c r="D7" s="126">
        <v>3</v>
      </c>
      <c r="E7" s="126"/>
    </row>
    <row r="8" spans="1:9" hidden="1" outlineLevel="1" x14ac:dyDescent="0.25">
      <c r="B8" s="3" t="s">
        <v>3</v>
      </c>
      <c r="D8" s="126">
        <v>23</v>
      </c>
      <c r="E8" s="126"/>
    </row>
    <row r="9" spans="1:9" ht="30.75" hidden="1" customHeight="1" outlineLevel="1" x14ac:dyDescent="0.25">
      <c r="B9" s="17" t="s">
        <v>4</v>
      </c>
      <c r="C9" s="62"/>
      <c r="D9" s="126" t="s">
        <v>31</v>
      </c>
      <c r="E9" s="126"/>
    </row>
    <row r="10" spans="1:9" collapsed="1" x14ac:dyDescent="0.25">
      <c r="B10" s="3" t="s">
        <v>5</v>
      </c>
      <c r="D10" s="126" t="s">
        <v>129</v>
      </c>
      <c r="E10" s="126"/>
      <c r="I10" s="12"/>
    </row>
    <row r="11" spans="1:9" hidden="1" outlineLevel="1" x14ac:dyDescent="0.25">
      <c r="B11" s="3" t="s">
        <v>6</v>
      </c>
      <c r="D11" s="126" t="s">
        <v>7</v>
      </c>
      <c r="E11" s="126"/>
    </row>
    <row r="12" spans="1:9" ht="30.75" hidden="1" customHeight="1" outlineLevel="1" x14ac:dyDescent="0.25">
      <c r="B12" s="17" t="s">
        <v>8</v>
      </c>
      <c r="C12" s="62"/>
      <c r="D12" s="138" t="s">
        <v>32</v>
      </c>
      <c r="E12" s="126"/>
      <c r="I12" s="12"/>
    </row>
    <row r="13" spans="1:9" ht="12" customHeight="1" collapsed="1" x14ac:dyDescent="0.25">
      <c r="B13" s="17"/>
      <c r="C13" s="62"/>
      <c r="D13" s="138"/>
      <c r="E13" s="126"/>
      <c r="I13" s="12"/>
    </row>
    <row r="14" spans="1:9" ht="16.5" thickBot="1" x14ac:dyDescent="0.3">
      <c r="B14" s="188" t="s">
        <v>157</v>
      </c>
      <c r="C14" s="188"/>
      <c r="D14" s="188"/>
      <c r="E14" s="188"/>
      <c r="F14" s="188"/>
      <c r="G14" s="188"/>
      <c r="H14" s="188"/>
      <c r="I14" s="12"/>
    </row>
    <row r="15" spans="1:9" ht="47.25" customHeight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  <c r="I15" s="12"/>
    </row>
    <row r="16" spans="1:9" x14ac:dyDescent="0.25">
      <c r="B16" s="111" t="s">
        <v>12</v>
      </c>
      <c r="C16" s="139">
        <v>1617198.1600000001</v>
      </c>
      <c r="D16" s="175"/>
      <c r="E16" s="143">
        <v>1100399.0900000001</v>
      </c>
      <c r="F16" s="144"/>
      <c r="G16" s="143">
        <v>516799.06999999995</v>
      </c>
      <c r="H16" s="145"/>
      <c r="I16" s="12"/>
    </row>
    <row r="17" spans="2:14" x14ac:dyDescent="0.25">
      <c r="B17" s="52" t="s">
        <v>13</v>
      </c>
      <c r="C17" s="141">
        <v>1561245.1300000001</v>
      </c>
      <c r="D17" s="173"/>
      <c r="E17" s="141">
        <v>1062758.6600000001</v>
      </c>
      <c r="F17" s="142"/>
      <c r="G17" s="141">
        <v>498486.47</v>
      </c>
      <c r="H17" s="146"/>
      <c r="I17" s="12"/>
    </row>
    <row r="18" spans="2:14" ht="16.5" thickBot="1" x14ac:dyDescent="0.3">
      <c r="B18" s="54" t="s">
        <v>87</v>
      </c>
      <c r="C18" s="147">
        <v>1498854.0902000002</v>
      </c>
      <c r="D18" s="174"/>
      <c r="E18" s="150">
        <v>1101292.0902000002</v>
      </c>
      <c r="F18" s="151"/>
      <c r="G18" s="150">
        <v>397562</v>
      </c>
      <c r="H18" s="152"/>
      <c r="I18" s="12"/>
    </row>
    <row r="19" spans="2:14" ht="33" customHeight="1" thickBot="1" x14ac:dyDescent="0.3">
      <c r="B19" s="13" t="s">
        <v>149</v>
      </c>
      <c r="C19" s="156">
        <f>E19+G19</f>
        <v>62391.039799999911</v>
      </c>
      <c r="D19" s="157"/>
      <c r="E19" s="154">
        <f>E17-E18</f>
        <v>-38533.430200000061</v>
      </c>
      <c r="F19" s="155"/>
      <c r="G19" s="154">
        <f>G17-G18</f>
        <v>100924.46999999997</v>
      </c>
      <c r="H19" s="158"/>
      <c r="I19" s="12"/>
    </row>
    <row r="20" spans="2:14" x14ac:dyDescent="0.25">
      <c r="B20" s="17"/>
      <c r="C20" s="62"/>
      <c r="D20" s="138"/>
      <c r="E20" s="126"/>
      <c r="I20" s="12"/>
    </row>
    <row r="21" spans="2:14" ht="31.5" customHeight="1" thickBot="1" x14ac:dyDescent="0.3">
      <c r="B21" s="193" t="s">
        <v>163</v>
      </c>
      <c r="C21" s="193"/>
      <c r="D21" s="193"/>
      <c r="E21" s="193"/>
      <c r="F21" s="193"/>
      <c r="G21" s="193"/>
      <c r="H21" s="193"/>
      <c r="I21" s="19"/>
      <c r="J21" s="19"/>
      <c r="L21" s="12"/>
      <c r="M21" s="195" t="s">
        <v>151</v>
      </c>
      <c r="N21" s="195" t="s">
        <v>152</v>
      </c>
    </row>
    <row r="22" spans="2:14" ht="27.75" customHeight="1" x14ac:dyDescent="0.25">
      <c r="B22" s="162" t="s">
        <v>101</v>
      </c>
      <c r="C22" s="164" t="s">
        <v>102</v>
      </c>
      <c r="D22" s="164" t="s">
        <v>103</v>
      </c>
      <c r="E22" s="166" t="s">
        <v>164</v>
      </c>
      <c r="F22" s="168" t="s">
        <v>104</v>
      </c>
      <c r="G22" s="169"/>
      <c r="H22" s="170" t="s">
        <v>123</v>
      </c>
      <c r="I22" s="20"/>
      <c r="J22" s="20"/>
      <c r="L22" s="12"/>
      <c r="M22" s="196"/>
      <c r="N22" s="196"/>
    </row>
    <row r="23" spans="2:14" ht="45" customHeight="1" thickBot="1" x14ac:dyDescent="0.3">
      <c r="B23" s="163"/>
      <c r="C23" s="165"/>
      <c r="D23" s="165"/>
      <c r="E23" s="167"/>
      <c r="F23" s="21" t="s">
        <v>92</v>
      </c>
      <c r="G23" s="22" t="s">
        <v>93</v>
      </c>
      <c r="H23" s="171"/>
      <c r="I23" s="20"/>
      <c r="J23" s="20"/>
      <c r="M23" s="197">
        <v>189383.21</v>
      </c>
      <c r="N23" s="197">
        <f>189383.21*1.01</f>
        <v>191277.04209999999</v>
      </c>
    </row>
    <row r="24" spans="2:14" ht="50.25" customHeight="1" x14ac:dyDescent="0.25">
      <c r="B24" s="23" t="s">
        <v>105</v>
      </c>
      <c r="C24" s="7" t="s">
        <v>121</v>
      </c>
      <c r="D24" s="24" t="s">
        <v>107</v>
      </c>
      <c r="E24" s="25">
        <v>1.06</v>
      </c>
      <c r="F24" s="26">
        <f>$M$23/$M$24*E24</f>
        <v>18814.077094657921</v>
      </c>
      <c r="G24" s="27">
        <f>$N$23/$N$24*E24</f>
        <v>19002.217865604503</v>
      </c>
      <c r="H24" s="28">
        <f>F24-G24</f>
        <v>-188.14077094658205</v>
      </c>
      <c r="I24" s="29"/>
      <c r="J24" s="29"/>
      <c r="K24" s="134"/>
      <c r="L24" s="31"/>
      <c r="M24" s="198">
        <f>E33-E31</f>
        <v>10.669999999999998</v>
      </c>
      <c r="N24" s="198">
        <f>E33-E31</f>
        <v>10.669999999999998</v>
      </c>
    </row>
    <row r="25" spans="2:14" ht="51" x14ac:dyDescent="0.25">
      <c r="B25" s="32" t="s">
        <v>99</v>
      </c>
      <c r="C25" s="7" t="s">
        <v>121</v>
      </c>
      <c r="D25" s="24" t="s">
        <v>107</v>
      </c>
      <c r="E25" s="8">
        <v>1.19</v>
      </c>
      <c r="F25" s="26">
        <f>$M$23/$M$24*E25</f>
        <v>21121.463908153703</v>
      </c>
      <c r="G25" s="27">
        <f>$N$23/$N$24*E25</f>
        <v>21332.678547235242</v>
      </c>
      <c r="H25" s="28">
        <f t="shared" ref="H25:H30" si="0">F25-G25</f>
        <v>-211.21463908153964</v>
      </c>
      <c r="I25" s="29"/>
      <c r="J25" s="29"/>
      <c r="K25" s="2"/>
      <c r="L25" s="2"/>
      <c r="M25" s="199"/>
      <c r="N25" s="199"/>
    </row>
    <row r="26" spans="2:14" ht="52.5" customHeight="1" x14ac:dyDescent="0.25">
      <c r="B26" s="33" t="s">
        <v>94</v>
      </c>
      <c r="C26" s="7" t="s">
        <v>121</v>
      </c>
      <c r="D26" s="24" t="s">
        <v>107</v>
      </c>
      <c r="E26" s="8">
        <v>0.32</v>
      </c>
      <c r="F26" s="26">
        <f t="shared" ref="F26:F32" si="1">$M$23/$M$24*E26</f>
        <v>5679.7213870665419</v>
      </c>
      <c r="G26" s="27">
        <f t="shared" ref="G26:G29" si="2">$N$23/$N$24*E26</f>
        <v>5736.5186009372082</v>
      </c>
      <c r="H26" s="28">
        <f t="shared" si="0"/>
        <v>-56.797213870666383</v>
      </c>
      <c r="I26" s="29"/>
      <c r="J26" s="29"/>
      <c r="L26" s="12"/>
    </row>
    <row r="27" spans="2:14" ht="25.5" x14ac:dyDescent="0.25">
      <c r="B27" s="33" t="s">
        <v>108</v>
      </c>
      <c r="C27" s="34" t="s">
        <v>109</v>
      </c>
      <c r="D27" s="24" t="s">
        <v>107</v>
      </c>
      <c r="E27" s="8">
        <v>0.5</v>
      </c>
      <c r="F27" s="26">
        <f>($M$23/12*2)/$M$24*E27</f>
        <v>1479.0941112152454</v>
      </c>
      <c r="G27" s="27">
        <f>($N$23/12*2)/$N$24*E27</f>
        <v>1493.8850523273979</v>
      </c>
      <c r="H27" s="28">
        <f t="shared" si="0"/>
        <v>-14.790941112152495</v>
      </c>
      <c r="I27" s="29"/>
      <c r="J27" s="29"/>
      <c r="L27" s="12"/>
    </row>
    <row r="28" spans="2:14" ht="51" x14ac:dyDescent="0.25">
      <c r="B28" s="32" t="s">
        <v>95</v>
      </c>
      <c r="C28" s="7" t="s">
        <v>122</v>
      </c>
      <c r="D28" s="24" t="s">
        <v>107</v>
      </c>
      <c r="E28" s="8">
        <v>1.18</v>
      </c>
      <c r="F28" s="26">
        <f t="shared" si="1"/>
        <v>20943.972614807873</v>
      </c>
      <c r="G28" s="27">
        <f t="shared" si="2"/>
        <v>21153.412340955954</v>
      </c>
      <c r="H28" s="28">
        <f t="shared" si="0"/>
        <v>-209.43972614808081</v>
      </c>
      <c r="I28" s="29"/>
      <c r="J28" s="29"/>
    </row>
    <row r="29" spans="2:14" ht="238.5" customHeight="1" x14ac:dyDescent="0.25">
      <c r="B29" s="32" t="s">
        <v>120</v>
      </c>
      <c r="C29" s="35" t="s">
        <v>110</v>
      </c>
      <c r="D29" s="24" t="s">
        <v>107</v>
      </c>
      <c r="E29" s="8">
        <v>5.61</v>
      </c>
      <c r="F29" s="26">
        <f t="shared" si="1"/>
        <v>99572.615567010318</v>
      </c>
      <c r="G29" s="27">
        <f t="shared" si="2"/>
        <v>100568.34172268044</v>
      </c>
      <c r="H29" s="28">
        <f t="shared" si="0"/>
        <v>-995.7261556701269</v>
      </c>
      <c r="I29" s="29"/>
      <c r="J29" s="29"/>
      <c r="K29" s="2"/>
      <c r="L29" s="1"/>
      <c r="M29" s="199"/>
      <c r="N29" s="199"/>
    </row>
    <row r="30" spans="2:14" ht="124.5" customHeight="1" x14ac:dyDescent="0.25">
      <c r="B30" s="32" t="s">
        <v>111</v>
      </c>
      <c r="C30" s="7" t="s">
        <v>121</v>
      </c>
      <c r="D30" s="24" t="s">
        <v>107</v>
      </c>
      <c r="E30" s="8">
        <v>0.24</v>
      </c>
      <c r="F30" s="26">
        <f t="shared" si="1"/>
        <v>4259.7910402999059</v>
      </c>
      <c r="G30" s="27">
        <f t="shared" ref="G30" si="3">$N$23/$N$24*E30</f>
        <v>4302.3889507029062</v>
      </c>
      <c r="H30" s="28">
        <f t="shared" si="0"/>
        <v>-42.597910403000242</v>
      </c>
      <c r="I30" s="29"/>
      <c r="J30" s="29"/>
    </row>
    <row r="31" spans="2:14" ht="49.5" customHeight="1" x14ac:dyDescent="0.25">
      <c r="B31" s="33" t="s">
        <v>112</v>
      </c>
      <c r="C31" s="7" t="s">
        <v>121</v>
      </c>
      <c r="D31" s="24" t="s">
        <v>107</v>
      </c>
      <c r="E31" s="8">
        <v>5.41</v>
      </c>
      <c r="F31" s="26">
        <v>98991.61</v>
      </c>
      <c r="G31" s="5">
        <v>74146</v>
      </c>
      <c r="H31" s="28">
        <f>F31-G31</f>
        <v>24845.61</v>
      </c>
      <c r="I31" s="29"/>
      <c r="J31" s="29"/>
      <c r="L31" s="12"/>
    </row>
    <row r="32" spans="2:14" ht="16.5" thickBot="1" x14ac:dyDescent="0.3">
      <c r="B32" s="36" t="s">
        <v>97</v>
      </c>
      <c r="C32" s="37" t="s">
        <v>110</v>
      </c>
      <c r="D32" s="38" t="s">
        <v>107</v>
      </c>
      <c r="E32" s="39">
        <f>0.75-0.18</f>
        <v>0.57000000000000006</v>
      </c>
      <c r="F32" s="26">
        <f t="shared" si="1"/>
        <v>10117.003720712279</v>
      </c>
      <c r="G32" s="27">
        <f t="shared" ref="G32" si="4">$N$23/$N$24*E32</f>
        <v>10218.173757919403</v>
      </c>
      <c r="H32" s="40">
        <f>F32-G32</f>
        <v>-101.17003720712455</v>
      </c>
      <c r="I32" s="29"/>
      <c r="J32" s="29"/>
    </row>
    <row r="33" spans="2:14" ht="16.5" thickBot="1" x14ac:dyDescent="0.3">
      <c r="B33" s="41" t="s">
        <v>98</v>
      </c>
      <c r="C33" s="42"/>
      <c r="D33" s="42"/>
      <c r="E33" s="43">
        <f>SUM(E24:E32)</f>
        <v>16.079999999999998</v>
      </c>
      <c r="F33" s="44">
        <f>SUM(F24:F32)</f>
        <v>280979.3494439238</v>
      </c>
      <c r="G33" s="45">
        <f>SUM(G24:G32)</f>
        <v>257953.61683836306</v>
      </c>
      <c r="H33" s="46">
        <f>SUM(H24:H32)</f>
        <v>23025.732605560726</v>
      </c>
      <c r="I33" s="47"/>
      <c r="J33" s="47"/>
    </row>
    <row r="34" spans="2:14" x14ac:dyDescent="0.25">
      <c r="B34" s="12"/>
      <c r="C34" s="12"/>
      <c r="D34" s="12"/>
      <c r="E34" s="135"/>
      <c r="F34" s="135"/>
      <c r="G34" s="135"/>
      <c r="H34" s="136"/>
      <c r="I34" s="136"/>
      <c r="J34" s="136"/>
    </row>
    <row r="35" spans="2:14" ht="16.5" customHeight="1" thickBot="1" x14ac:dyDescent="0.3">
      <c r="B35" s="188" t="s">
        <v>165</v>
      </c>
      <c r="C35" s="188"/>
      <c r="D35" s="188"/>
      <c r="E35" s="188"/>
      <c r="F35" s="188"/>
      <c r="G35" s="188"/>
      <c r="H35" s="188"/>
      <c r="I35" s="48"/>
      <c r="J35" s="48"/>
    </row>
    <row r="36" spans="2:14" ht="44.25" customHeight="1" thickBot="1" x14ac:dyDescent="0.3">
      <c r="B36" s="110" t="s">
        <v>166</v>
      </c>
      <c r="C36" s="186" t="s">
        <v>113</v>
      </c>
      <c r="D36" s="187"/>
      <c r="E36" s="181" t="s">
        <v>10</v>
      </c>
      <c r="F36" s="189"/>
      <c r="G36" s="181" t="s">
        <v>11</v>
      </c>
      <c r="H36" s="182"/>
      <c r="I36" s="49"/>
      <c r="J36" s="49"/>
      <c r="K36" s="50"/>
      <c r="L36" s="51"/>
      <c r="M36" s="200"/>
      <c r="N36" s="200"/>
    </row>
    <row r="37" spans="2:14" x14ac:dyDescent="0.25">
      <c r="B37" s="111" t="s">
        <v>12</v>
      </c>
      <c r="C37" s="139">
        <f>E37+G37</f>
        <v>1898177.5094439238</v>
      </c>
      <c r="D37" s="140"/>
      <c r="E37" s="143">
        <f>F24+F25+F26+F27+F28+F29+F30+F32+E16</f>
        <v>1282386.8294439239</v>
      </c>
      <c r="F37" s="144"/>
      <c r="G37" s="143">
        <f>F31+G16</f>
        <v>615790.67999999993</v>
      </c>
      <c r="H37" s="145"/>
      <c r="I37" s="53"/>
      <c r="J37" s="53"/>
      <c r="K37" s="9"/>
      <c r="L37" s="9"/>
      <c r="M37" s="201"/>
    </row>
    <row r="38" spans="2:14" x14ac:dyDescent="0.25">
      <c r="B38" s="52" t="s">
        <v>13</v>
      </c>
      <c r="C38" s="141">
        <f>E38+G38</f>
        <v>1813252.1400000001</v>
      </c>
      <c r="D38" s="142"/>
      <c r="E38" s="141">
        <f>E17+165499.53</f>
        <v>1228258.1900000002</v>
      </c>
      <c r="F38" s="142"/>
      <c r="G38" s="141">
        <f>G17+86507.48</f>
        <v>584993.94999999995</v>
      </c>
      <c r="H38" s="146"/>
      <c r="I38" s="53"/>
      <c r="J38" s="53"/>
      <c r="K38" s="11"/>
      <c r="L38" s="9"/>
      <c r="M38" s="201"/>
    </row>
    <row r="39" spans="2:14" ht="16.5" thickBot="1" x14ac:dyDescent="0.3">
      <c r="B39" s="54" t="s">
        <v>87</v>
      </c>
      <c r="C39" s="147">
        <f>E39+G39</f>
        <v>1756807.7070383632</v>
      </c>
      <c r="D39" s="148"/>
      <c r="E39" s="150">
        <f>G24+G25+G26+G27+G28+G29+G30+G32+E18</f>
        <v>1285099.7070383632</v>
      </c>
      <c r="F39" s="151"/>
      <c r="G39" s="150">
        <f>G31+G18</f>
        <v>471708</v>
      </c>
      <c r="H39" s="152"/>
      <c r="I39" s="53"/>
      <c r="J39" s="53"/>
      <c r="K39" s="55"/>
      <c r="L39" s="55"/>
    </row>
    <row r="40" spans="2:14" ht="36.75" thickBot="1" x14ac:dyDescent="0.3">
      <c r="B40" s="13" t="s">
        <v>150</v>
      </c>
      <c r="C40" s="156">
        <f>E40+G40</f>
        <v>56444.432961636921</v>
      </c>
      <c r="D40" s="157"/>
      <c r="E40" s="154">
        <f>E38-E39</f>
        <v>-56841.517038363032</v>
      </c>
      <c r="F40" s="155"/>
      <c r="G40" s="154">
        <f>G38-G39</f>
        <v>113285.94999999995</v>
      </c>
      <c r="H40" s="158"/>
      <c r="I40" s="53"/>
      <c r="J40" s="53"/>
      <c r="K40" s="55"/>
      <c r="L40" s="55"/>
    </row>
    <row r="41" spans="2:14" ht="34.5" customHeight="1" x14ac:dyDescent="0.25">
      <c r="B41" s="128" t="s">
        <v>88</v>
      </c>
      <c r="C41" s="149" t="s">
        <v>155</v>
      </c>
      <c r="D41" s="149"/>
      <c r="E41" s="149"/>
      <c r="F41" s="153" t="s">
        <v>14</v>
      </c>
      <c r="G41" s="153"/>
      <c r="H41" s="128"/>
      <c r="I41" s="128"/>
      <c r="J41" s="128"/>
      <c r="K41" s="2"/>
      <c r="L41" s="2"/>
      <c r="M41" s="199"/>
      <c r="N41" s="199"/>
    </row>
    <row r="42" spans="2:14" ht="11.25" customHeight="1" x14ac:dyDescent="0.25">
      <c r="B42" s="128"/>
      <c r="C42" s="128"/>
      <c r="D42" s="128"/>
      <c r="E42" s="127"/>
      <c r="F42" s="160"/>
      <c r="G42" s="160"/>
      <c r="H42" s="129"/>
      <c r="I42" s="129"/>
      <c r="J42" s="129"/>
      <c r="K42" s="2"/>
      <c r="L42" s="2"/>
      <c r="M42" s="199"/>
      <c r="N42" s="199"/>
    </row>
    <row r="43" spans="2:14" x14ac:dyDescent="0.25">
      <c r="B43" s="128" t="s">
        <v>89</v>
      </c>
      <c r="C43" s="149" t="s">
        <v>155</v>
      </c>
      <c r="D43" s="149"/>
      <c r="E43" s="149"/>
      <c r="F43" s="153" t="s">
        <v>100</v>
      </c>
      <c r="G43" s="153"/>
      <c r="H43" s="128"/>
      <c r="I43" s="128"/>
      <c r="J43" s="128"/>
      <c r="K43" s="2"/>
      <c r="L43" s="2"/>
      <c r="M43" s="199"/>
      <c r="N43" s="199"/>
    </row>
    <row r="44" spans="2:14" ht="9.75" customHeight="1" x14ac:dyDescent="0.25">
      <c r="B44" s="128"/>
      <c r="C44" s="128"/>
      <c r="D44" s="128"/>
      <c r="E44" s="127"/>
      <c r="F44" s="153"/>
      <c r="G44" s="153"/>
      <c r="H44" s="128"/>
      <c r="I44" s="128"/>
      <c r="J44" s="128"/>
    </row>
    <row r="45" spans="2:14" x14ac:dyDescent="0.25">
      <c r="B45" s="128" t="s">
        <v>90</v>
      </c>
      <c r="C45" s="149" t="s">
        <v>155</v>
      </c>
      <c r="D45" s="149"/>
      <c r="E45" s="149"/>
      <c r="F45" s="153" t="s">
        <v>114</v>
      </c>
      <c r="G45" s="153"/>
      <c r="H45" s="128"/>
      <c r="I45" s="128"/>
      <c r="J45" s="128"/>
    </row>
    <row r="46" spans="2:14" ht="8.25" customHeight="1" x14ac:dyDescent="0.25">
      <c r="B46" s="56"/>
      <c r="C46" s="56"/>
      <c r="D46" s="56"/>
      <c r="E46" s="127"/>
      <c r="F46" s="57"/>
      <c r="G46" s="58"/>
      <c r="H46" s="59"/>
      <c r="I46" s="59"/>
      <c r="J46" s="59"/>
    </row>
    <row r="47" spans="2:14" x14ac:dyDescent="0.25">
      <c r="B47" s="128" t="s">
        <v>91</v>
      </c>
      <c r="C47" s="149" t="s">
        <v>155</v>
      </c>
      <c r="D47" s="149"/>
      <c r="E47" s="149"/>
      <c r="F47" s="153" t="s">
        <v>114</v>
      </c>
      <c r="G47" s="153"/>
    </row>
    <row r="48" spans="2:14" ht="9" customHeight="1" x14ac:dyDescent="0.25">
      <c r="B48" s="60"/>
      <c r="C48" s="60"/>
      <c r="D48" s="60"/>
      <c r="E48" s="127"/>
      <c r="F48" s="159"/>
      <c r="G48" s="159"/>
    </row>
  </sheetData>
  <mergeCells count="55">
    <mergeCell ref="C41:E41"/>
    <mergeCell ref="C43:E43"/>
    <mergeCell ref="C45:E45"/>
    <mergeCell ref="C47:E47"/>
    <mergeCell ref="G17:H17"/>
    <mergeCell ref="E18:F18"/>
    <mergeCell ref="G18:H18"/>
    <mergeCell ref="E19:F19"/>
    <mergeCell ref="G19:H19"/>
    <mergeCell ref="G39:H39"/>
    <mergeCell ref="G40:H40"/>
    <mergeCell ref="E39:F39"/>
    <mergeCell ref="E40:F40"/>
    <mergeCell ref="C39:D39"/>
    <mergeCell ref="C40:D40"/>
    <mergeCell ref="B1:H1"/>
    <mergeCell ref="B2:H3"/>
    <mergeCell ref="B21:H21"/>
    <mergeCell ref="B22:B23"/>
    <mergeCell ref="C22:C23"/>
    <mergeCell ref="D22:D23"/>
    <mergeCell ref="E22:E23"/>
    <mergeCell ref="F22:G22"/>
    <mergeCell ref="H22:H23"/>
    <mergeCell ref="D5:E5"/>
    <mergeCell ref="B14:H14"/>
    <mergeCell ref="E15:F15"/>
    <mergeCell ref="G15:H15"/>
    <mergeCell ref="E16:F16"/>
    <mergeCell ref="G16:H16"/>
    <mergeCell ref="E17:F17"/>
    <mergeCell ref="F48:G48"/>
    <mergeCell ref="F44:G44"/>
    <mergeCell ref="F45:G45"/>
    <mergeCell ref="F47:G47"/>
    <mergeCell ref="F41:G41"/>
    <mergeCell ref="F42:G42"/>
    <mergeCell ref="F43:G43"/>
    <mergeCell ref="C15:D15"/>
    <mergeCell ref="C16:D16"/>
    <mergeCell ref="C17:D17"/>
    <mergeCell ref="C18:D18"/>
    <mergeCell ref="C19:D19"/>
    <mergeCell ref="M21:M22"/>
    <mergeCell ref="N21:N22"/>
    <mergeCell ref="C36:D36"/>
    <mergeCell ref="C37:D37"/>
    <mergeCell ref="C38:D38"/>
    <mergeCell ref="E38:F38"/>
    <mergeCell ref="G38:H38"/>
    <mergeCell ref="B35:H35"/>
    <mergeCell ref="E36:F36"/>
    <mergeCell ref="G36:H36"/>
    <mergeCell ref="E37:F37"/>
    <mergeCell ref="G37:H37"/>
  </mergeCells>
  <printOptions horizontalCentered="1"/>
  <pageMargins left="0.19685039370078741" right="0.19685039370078741" top="0.19685039370078741" bottom="0.23622047244094491" header="0.31496062992125984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50"/>
  <sheetViews>
    <sheetView zoomScale="110" zoomScaleNormal="110" workbookViewId="0">
      <selection activeCell="C29" sqref="C28:C29"/>
    </sheetView>
  </sheetViews>
  <sheetFormatPr defaultColWidth="9.140625" defaultRowHeight="15.75" outlineLevelRow="1" x14ac:dyDescent="0.25"/>
  <cols>
    <col min="1" max="1" width="2.85546875" style="3" customWidth="1"/>
    <col min="2" max="2" width="56.28515625" style="3" customWidth="1"/>
    <col min="3" max="3" width="24.42578125" style="61" customWidth="1"/>
    <col min="4" max="4" width="8.42578125" style="136" customWidth="1"/>
    <col min="5" max="5" width="10.28515625" style="136" customWidth="1"/>
    <col min="6" max="6" width="10.140625" style="3" customWidth="1"/>
    <col min="7" max="8" width="10.42578125" style="3" customWidth="1"/>
    <col min="9" max="9" width="12.28515625" style="3" customWidth="1"/>
    <col min="10" max="12" width="9.140625" style="3"/>
    <col min="13" max="13" width="13.85546875" style="194" customWidth="1"/>
    <col min="14" max="14" width="16.28515625" style="194" customWidth="1"/>
    <col min="15" max="16384" width="9.140625" style="3"/>
  </cols>
  <sheetData>
    <row r="1" spans="1:9" x14ac:dyDescent="0.25">
      <c r="B1" s="161" t="s">
        <v>116</v>
      </c>
      <c r="C1" s="161"/>
      <c r="D1" s="161"/>
      <c r="E1" s="161"/>
      <c r="F1" s="161"/>
      <c r="G1" s="161"/>
      <c r="H1" s="161"/>
    </row>
    <row r="2" spans="1:9" ht="19.5" customHeight="1" x14ac:dyDescent="0.3">
      <c r="A2" s="14"/>
      <c r="B2" s="185" t="s">
        <v>162</v>
      </c>
      <c r="C2" s="185"/>
      <c r="D2" s="185"/>
      <c r="E2" s="185"/>
      <c r="F2" s="185"/>
      <c r="G2" s="185"/>
      <c r="H2" s="185"/>
    </row>
    <row r="3" spans="1:9" ht="20.25" customHeight="1" x14ac:dyDescent="0.3">
      <c r="A3" s="14"/>
      <c r="B3" s="185"/>
      <c r="C3" s="185"/>
      <c r="D3" s="185"/>
      <c r="E3" s="185"/>
      <c r="F3" s="185"/>
      <c r="G3" s="185"/>
      <c r="H3" s="185"/>
    </row>
    <row r="4" spans="1:9" ht="15" customHeight="1" x14ac:dyDescent="0.25"/>
    <row r="5" spans="1:9" x14ac:dyDescent="0.25">
      <c r="B5" s="3" t="s">
        <v>0</v>
      </c>
      <c r="D5" s="172" t="s">
        <v>33</v>
      </c>
      <c r="E5" s="172"/>
    </row>
    <row r="6" spans="1:9" x14ac:dyDescent="0.25">
      <c r="B6" s="3" t="s">
        <v>1</v>
      </c>
      <c r="D6" s="126">
        <v>1960</v>
      </c>
      <c r="E6" s="126"/>
    </row>
    <row r="7" spans="1:9" hidden="1" outlineLevel="1" x14ac:dyDescent="0.25">
      <c r="B7" s="3" t="s">
        <v>2</v>
      </c>
      <c r="D7" s="126">
        <v>2</v>
      </c>
      <c r="E7" s="126"/>
    </row>
    <row r="8" spans="1:9" hidden="1" outlineLevel="1" x14ac:dyDescent="0.25">
      <c r="B8" s="3" t="s">
        <v>3</v>
      </c>
      <c r="D8" s="126">
        <v>16</v>
      </c>
      <c r="E8" s="126"/>
    </row>
    <row r="9" spans="1:9" ht="30.75" hidden="1" customHeight="1" outlineLevel="1" x14ac:dyDescent="0.25">
      <c r="B9" s="17" t="s">
        <v>4</v>
      </c>
      <c r="C9" s="62"/>
      <c r="D9" s="126" t="s">
        <v>34</v>
      </c>
      <c r="E9" s="126"/>
    </row>
    <row r="10" spans="1:9" collapsed="1" x14ac:dyDescent="0.25">
      <c r="B10" s="3" t="s">
        <v>5</v>
      </c>
      <c r="D10" s="126" t="s">
        <v>130</v>
      </c>
      <c r="E10" s="126"/>
      <c r="I10" s="12"/>
    </row>
    <row r="11" spans="1:9" hidden="1" outlineLevel="1" x14ac:dyDescent="0.25">
      <c r="B11" s="3" t="s">
        <v>6</v>
      </c>
      <c r="D11" s="126" t="s">
        <v>7</v>
      </c>
      <c r="E11" s="126"/>
    </row>
    <row r="12" spans="1:9" ht="30.75" hidden="1" customHeight="1" outlineLevel="1" x14ac:dyDescent="0.25">
      <c r="B12" s="17" t="s">
        <v>8</v>
      </c>
      <c r="C12" s="62"/>
      <c r="D12" s="138" t="s">
        <v>35</v>
      </c>
      <c r="E12" s="126"/>
      <c r="I12" s="12"/>
    </row>
    <row r="13" spans="1:9" collapsed="1" x14ac:dyDescent="0.25">
      <c r="B13" s="17"/>
      <c r="C13" s="62"/>
      <c r="D13" s="138"/>
      <c r="E13" s="126"/>
      <c r="I13" s="12"/>
    </row>
    <row r="14" spans="1:9" ht="16.5" thickBot="1" x14ac:dyDescent="0.3">
      <c r="B14" s="188" t="s">
        <v>157</v>
      </c>
      <c r="C14" s="188"/>
      <c r="D14" s="188"/>
      <c r="E14" s="188"/>
      <c r="F14" s="188"/>
      <c r="G14" s="188"/>
      <c r="H14" s="188"/>
      <c r="I14" s="12"/>
    </row>
    <row r="15" spans="1:9" ht="43.5" customHeight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  <c r="I15" s="12"/>
    </row>
    <row r="16" spans="1:9" x14ac:dyDescent="0.25">
      <c r="B16" s="111" t="s">
        <v>12</v>
      </c>
      <c r="C16" s="139">
        <v>427560.25</v>
      </c>
      <c r="D16" s="175"/>
      <c r="E16" s="143">
        <v>348944.24</v>
      </c>
      <c r="F16" s="144"/>
      <c r="G16" s="143">
        <v>78616.010000000009</v>
      </c>
      <c r="H16" s="145"/>
      <c r="I16" s="12"/>
    </row>
    <row r="17" spans="2:14" x14ac:dyDescent="0.25">
      <c r="B17" s="52" t="s">
        <v>13</v>
      </c>
      <c r="C17" s="141">
        <v>363689.32999999996</v>
      </c>
      <c r="D17" s="173"/>
      <c r="E17" s="141">
        <v>295787.03999999998</v>
      </c>
      <c r="F17" s="142"/>
      <c r="G17" s="141">
        <v>67902.290000000008</v>
      </c>
      <c r="H17" s="146"/>
      <c r="I17" s="12"/>
    </row>
    <row r="18" spans="2:14" x14ac:dyDescent="0.25">
      <c r="B18" s="54" t="s">
        <v>87</v>
      </c>
      <c r="C18" s="141">
        <v>393874.77610000002</v>
      </c>
      <c r="D18" s="173"/>
      <c r="E18" s="150">
        <v>352919.77610000002</v>
      </c>
      <c r="F18" s="151"/>
      <c r="G18" s="150">
        <v>40955</v>
      </c>
      <c r="H18" s="152"/>
      <c r="I18" s="12"/>
    </row>
    <row r="19" spans="2:14" ht="16.5" thickBot="1" x14ac:dyDescent="0.3">
      <c r="B19" s="64" t="s">
        <v>148</v>
      </c>
      <c r="C19" s="147">
        <v>7200</v>
      </c>
      <c r="D19" s="174"/>
      <c r="E19" s="147">
        <v>7200</v>
      </c>
      <c r="F19" s="148"/>
      <c r="G19" s="147">
        <v>0</v>
      </c>
      <c r="H19" s="176"/>
      <c r="I19" s="12"/>
    </row>
    <row r="20" spans="2:14" ht="29.25" customHeight="1" thickBot="1" x14ac:dyDescent="0.3">
      <c r="B20" s="13" t="s">
        <v>149</v>
      </c>
      <c r="C20" s="156">
        <f>E20+G20</f>
        <v>-22985.44610000003</v>
      </c>
      <c r="D20" s="157"/>
      <c r="E20" s="154">
        <f>E17+E19-E18</f>
        <v>-49932.736100000038</v>
      </c>
      <c r="F20" s="155"/>
      <c r="G20" s="154">
        <f>G17-G18</f>
        <v>26947.290000000008</v>
      </c>
      <c r="H20" s="158"/>
      <c r="I20" s="12"/>
    </row>
    <row r="21" spans="2:14" x14ac:dyDescent="0.25">
      <c r="B21" s="17"/>
      <c r="C21" s="62"/>
      <c r="D21" s="138"/>
      <c r="E21" s="126"/>
      <c r="I21" s="12"/>
    </row>
    <row r="22" spans="2:14" ht="25.5" customHeight="1" thickBot="1" x14ac:dyDescent="0.3">
      <c r="B22" s="193" t="s">
        <v>163</v>
      </c>
      <c r="C22" s="193"/>
      <c r="D22" s="193"/>
      <c r="E22" s="193"/>
      <c r="F22" s="193"/>
      <c r="G22" s="193"/>
      <c r="H22" s="193"/>
      <c r="I22" s="19"/>
      <c r="J22" s="19"/>
      <c r="L22" s="12"/>
      <c r="M22" s="195" t="s">
        <v>151</v>
      </c>
      <c r="N22" s="195" t="s">
        <v>152</v>
      </c>
    </row>
    <row r="23" spans="2:14" ht="27.75" customHeight="1" x14ac:dyDescent="0.25">
      <c r="B23" s="162" t="s">
        <v>101</v>
      </c>
      <c r="C23" s="164" t="s">
        <v>102</v>
      </c>
      <c r="D23" s="164" t="s">
        <v>103</v>
      </c>
      <c r="E23" s="166" t="s">
        <v>164</v>
      </c>
      <c r="F23" s="168" t="s">
        <v>104</v>
      </c>
      <c r="G23" s="169"/>
      <c r="H23" s="170" t="s">
        <v>123</v>
      </c>
      <c r="I23" s="20"/>
      <c r="J23" s="20"/>
      <c r="L23" s="12"/>
      <c r="M23" s="196"/>
      <c r="N23" s="196"/>
    </row>
    <row r="24" spans="2:14" ht="45" customHeight="1" thickBot="1" x14ac:dyDescent="0.3">
      <c r="B24" s="163"/>
      <c r="C24" s="165"/>
      <c r="D24" s="165"/>
      <c r="E24" s="167"/>
      <c r="F24" s="21" t="s">
        <v>92</v>
      </c>
      <c r="G24" s="22" t="s">
        <v>93</v>
      </c>
      <c r="H24" s="171"/>
      <c r="I24" s="20"/>
      <c r="J24" s="20"/>
      <c r="M24" s="197">
        <v>62964.44</v>
      </c>
      <c r="N24" s="197">
        <f>62964.44*1.01</f>
        <v>63594.0844</v>
      </c>
    </row>
    <row r="25" spans="2:14" ht="50.25" customHeight="1" x14ac:dyDescent="0.25">
      <c r="B25" s="23" t="s">
        <v>105</v>
      </c>
      <c r="C25" s="7" t="s">
        <v>121</v>
      </c>
      <c r="D25" s="24" t="s">
        <v>107</v>
      </c>
      <c r="E25" s="25">
        <v>1.06</v>
      </c>
      <c r="F25" s="26">
        <f>$M$24/$M$25*E25</f>
        <v>6220.159030754895</v>
      </c>
      <c r="G25" s="27">
        <f>$N$24/$N$25*E25</f>
        <v>6282.3606210624439</v>
      </c>
      <c r="H25" s="28">
        <f>F25-G25</f>
        <v>-62.20159030754894</v>
      </c>
      <c r="I25" s="29"/>
      <c r="J25" s="29"/>
      <c r="K25" s="134"/>
      <c r="L25" s="31"/>
      <c r="M25" s="198">
        <f>E34-E32</f>
        <v>10.729999999999997</v>
      </c>
      <c r="N25" s="198">
        <f>E34-E32</f>
        <v>10.729999999999997</v>
      </c>
    </row>
    <row r="26" spans="2:14" ht="51" x14ac:dyDescent="0.25">
      <c r="B26" s="32" t="s">
        <v>99</v>
      </c>
      <c r="C26" s="7" t="s">
        <v>121</v>
      </c>
      <c r="D26" s="24" t="s">
        <v>107</v>
      </c>
      <c r="E26" s="8">
        <v>1.19</v>
      </c>
      <c r="F26" s="26">
        <f>$M$24/$M$25*E26</f>
        <v>6983.0087232059659</v>
      </c>
      <c r="G26" s="27">
        <f>$N$24/$N$25*E26</f>
        <v>7052.8388104380265</v>
      </c>
      <c r="H26" s="28">
        <f t="shared" ref="H26:H31" si="0">F26-G26</f>
        <v>-69.830087232060578</v>
      </c>
      <c r="I26" s="29"/>
      <c r="J26" s="29"/>
      <c r="K26" s="2"/>
      <c r="L26" s="2"/>
      <c r="M26" s="199"/>
      <c r="N26" s="199"/>
    </row>
    <row r="27" spans="2:14" ht="52.5" customHeight="1" x14ac:dyDescent="0.25">
      <c r="B27" s="33" t="s">
        <v>94</v>
      </c>
      <c r="C27" s="7" t="s">
        <v>121</v>
      </c>
      <c r="D27" s="24" t="s">
        <v>107</v>
      </c>
      <c r="E27" s="8">
        <v>0.32</v>
      </c>
      <c r="F27" s="26">
        <f t="shared" ref="F27:F33" si="1">$M$24/$M$25*E27</f>
        <v>1877.7838583411003</v>
      </c>
      <c r="G27" s="27">
        <f t="shared" ref="G27:G30" si="2">$N$24/$N$25*E27</f>
        <v>1896.5616969245114</v>
      </c>
      <c r="H27" s="28">
        <f t="shared" si="0"/>
        <v>-18.77783858341104</v>
      </c>
      <c r="I27" s="29"/>
      <c r="J27" s="29"/>
      <c r="L27" s="12"/>
    </row>
    <row r="28" spans="2:14" ht="25.5" x14ac:dyDescent="0.25">
      <c r="B28" s="33" t="s">
        <v>108</v>
      </c>
      <c r="C28" s="34" t="s">
        <v>109</v>
      </c>
      <c r="D28" s="24" t="s">
        <v>107</v>
      </c>
      <c r="E28" s="8">
        <v>0.5</v>
      </c>
      <c r="F28" s="26">
        <f>($M$24/12*2)/$M$25*E28</f>
        <v>489.00621310966153</v>
      </c>
      <c r="G28" s="27">
        <f>($N$24/12*2)/$N$25*E28</f>
        <v>493.89627524075814</v>
      </c>
      <c r="H28" s="28">
        <f t="shared" si="0"/>
        <v>-4.890062131096613</v>
      </c>
      <c r="I28" s="29"/>
      <c r="J28" s="29"/>
      <c r="L28" s="12"/>
    </row>
    <row r="29" spans="2:14" ht="51" x14ac:dyDescent="0.25">
      <c r="B29" s="32" t="s">
        <v>95</v>
      </c>
      <c r="C29" s="7" t="s">
        <v>122</v>
      </c>
      <c r="D29" s="24" t="s">
        <v>107</v>
      </c>
      <c r="E29" s="8">
        <v>1.18</v>
      </c>
      <c r="F29" s="26">
        <f t="shared" si="1"/>
        <v>6924.3279776328072</v>
      </c>
      <c r="G29" s="27">
        <f t="shared" si="2"/>
        <v>6993.5712574091349</v>
      </c>
      <c r="H29" s="28">
        <f t="shared" si="0"/>
        <v>-69.243279776327654</v>
      </c>
      <c r="I29" s="29"/>
      <c r="J29" s="29"/>
    </row>
    <row r="30" spans="2:14" ht="241.5" customHeight="1" x14ac:dyDescent="0.25">
      <c r="B30" s="32" t="s">
        <v>120</v>
      </c>
      <c r="C30" s="35" t="s">
        <v>110</v>
      </c>
      <c r="D30" s="24" t="s">
        <v>107</v>
      </c>
      <c r="E30" s="8">
        <v>5.61</v>
      </c>
      <c r="F30" s="26">
        <f t="shared" si="1"/>
        <v>32919.898266542419</v>
      </c>
      <c r="G30" s="27">
        <f t="shared" si="2"/>
        <v>33249.097249207844</v>
      </c>
      <c r="H30" s="28">
        <f t="shared" si="0"/>
        <v>-329.19898266542441</v>
      </c>
      <c r="I30" s="29"/>
      <c r="J30" s="29"/>
      <c r="K30" s="2"/>
      <c r="L30" s="1"/>
      <c r="M30" s="199"/>
      <c r="N30" s="199"/>
    </row>
    <row r="31" spans="2:14" ht="123" customHeight="1" x14ac:dyDescent="0.25">
      <c r="B31" s="32" t="s">
        <v>111</v>
      </c>
      <c r="C31" s="7" t="s">
        <v>121</v>
      </c>
      <c r="D31" s="24" t="s">
        <v>107</v>
      </c>
      <c r="E31" s="8">
        <v>0.19</v>
      </c>
      <c r="F31" s="26">
        <f t="shared" si="1"/>
        <v>1114.9341658900282</v>
      </c>
      <c r="G31" s="27">
        <f t="shared" ref="G31" si="3">$N$24/$N$25*E31</f>
        <v>1126.0835075489285</v>
      </c>
      <c r="H31" s="28">
        <f t="shared" si="0"/>
        <v>-11.149341658900312</v>
      </c>
      <c r="I31" s="29"/>
      <c r="J31" s="29"/>
    </row>
    <row r="32" spans="2:14" ht="48.75" customHeight="1" x14ac:dyDescent="0.25">
      <c r="B32" s="33" t="s">
        <v>112</v>
      </c>
      <c r="C32" s="7" t="s">
        <v>121</v>
      </c>
      <c r="D32" s="24" t="s">
        <v>107</v>
      </c>
      <c r="E32" s="8">
        <v>3.21</v>
      </c>
      <c r="F32" s="26">
        <v>20272.400000000001</v>
      </c>
      <c r="G32" s="5">
        <v>775</v>
      </c>
      <c r="H32" s="28">
        <f>F32-G32</f>
        <v>19497.400000000001</v>
      </c>
      <c r="I32" s="29"/>
      <c r="J32" s="29"/>
      <c r="L32" s="12"/>
    </row>
    <row r="33" spans="2:14" ht="16.5" thickBot="1" x14ac:dyDescent="0.3">
      <c r="B33" s="36" t="s">
        <v>97</v>
      </c>
      <c r="C33" s="37" t="s">
        <v>110</v>
      </c>
      <c r="D33" s="38" t="s">
        <v>107</v>
      </c>
      <c r="E33" s="39">
        <f>0.42+0.26</f>
        <v>0.67999999999999994</v>
      </c>
      <c r="F33" s="26">
        <f t="shared" si="1"/>
        <v>3990.2906989748376</v>
      </c>
      <c r="G33" s="27">
        <f t="shared" ref="G33" si="4">$N$24/$N$25*E33</f>
        <v>4030.1936059645864</v>
      </c>
      <c r="H33" s="40">
        <f>F33-G33</f>
        <v>-39.902906989748772</v>
      </c>
      <c r="I33" s="29"/>
      <c r="J33" s="29"/>
    </row>
    <row r="34" spans="2:14" ht="16.5" thickBot="1" x14ac:dyDescent="0.3">
      <c r="B34" s="41" t="s">
        <v>98</v>
      </c>
      <c r="C34" s="42"/>
      <c r="D34" s="42"/>
      <c r="E34" s="43">
        <f>SUM(E25:E33)</f>
        <v>13.939999999999998</v>
      </c>
      <c r="F34" s="44">
        <f>SUM(F25:F33)</f>
        <v>80791.808934451721</v>
      </c>
      <c r="G34" s="45">
        <f>SUM(G25:G33)</f>
        <v>61899.603023796233</v>
      </c>
      <c r="H34" s="46">
        <f>SUM(H25:H33)</f>
        <v>18892.205910655484</v>
      </c>
      <c r="I34" s="47"/>
      <c r="J34" s="47"/>
    </row>
    <row r="35" spans="2:14" x14ac:dyDescent="0.25">
      <c r="B35" s="12"/>
      <c r="C35" s="12"/>
      <c r="D35" s="12"/>
      <c r="E35" s="135"/>
      <c r="F35" s="135"/>
      <c r="G35" s="135"/>
      <c r="H35" s="136"/>
      <c r="I35" s="136"/>
      <c r="J35" s="136"/>
    </row>
    <row r="36" spans="2:14" ht="16.5" customHeight="1" thickBot="1" x14ac:dyDescent="0.3">
      <c r="B36" s="188" t="s">
        <v>165</v>
      </c>
      <c r="C36" s="188"/>
      <c r="D36" s="188"/>
      <c r="E36" s="188"/>
      <c r="F36" s="188"/>
      <c r="G36" s="188"/>
      <c r="H36" s="188"/>
      <c r="I36" s="48"/>
      <c r="J36" s="48"/>
    </row>
    <row r="37" spans="2:14" ht="44.25" customHeight="1" thickBot="1" x14ac:dyDescent="0.3">
      <c r="B37" s="110" t="s">
        <v>166</v>
      </c>
      <c r="C37" s="186" t="s">
        <v>113</v>
      </c>
      <c r="D37" s="187"/>
      <c r="E37" s="181" t="s">
        <v>10</v>
      </c>
      <c r="F37" s="189"/>
      <c r="G37" s="181" t="s">
        <v>11</v>
      </c>
      <c r="H37" s="182"/>
      <c r="I37" s="49"/>
      <c r="J37" s="49"/>
      <c r="K37" s="50"/>
      <c r="L37" s="51"/>
      <c r="M37" s="200"/>
      <c r="N37" s="200"/>
    </row>
    <row r="38" spans="2:14" x14ac:dyDescent="0.25">
      <c r="B38" s="111" t="s">
        <v>12</v>
      </c>
      <c r="C38" s="139">
        <f>E38+G38</f>
        <v>508352.05893445166</v>
      </c>
      <c r="D38" s="140"/>
      <c r="E38" s="143">
        <f>F25+F26+F27+F28+F29+F30+F31+F33+E16</f>
        <v>409463.64893445169</v>
      </c>
      <c r="F38" s="144"/>
      <c r="G38" s="143">
        <f>F32+G16</f>
        <v>98888.41</v>
      </c>
      <c r="H38" s="145"/>
      <c r="I38" s="53"/>
      <c r="J38" s="53"/>
      <c r="K38" s="9"/>
      <c r="L38" s="9"/>
      <c r="M38" s="201"/>
    </row>
    <row r="39" spans="2:14" x14ac:dyDescent="0.25">
      <c r="B39" s="52" t="s">
        <v>13</v>
      </c>
      <c r="C39" s="141">
        <f>E39+G39</f>
        <v>441300.13</v>
      </c>
      <c r="D39" s="142"/>
      <c r="E39" s="141">
        <f>E17+58708.62</f>
        <v>354495.66</v>
      </c>
      <c r="F39" s="142"/>
      <c r="G39" s="141">
        <f>G17+18902.18</f>
        <v>86804.47</v>
      </c>
      <c r="H39" s="146"/>
      <c r="I39" s="53"/>
      <c r="J39" s="53"/>
      <c r="K39" s="11"/>
      <c r="L39" s="9"/>
      <c r="M39" s="201"/>
    </row>
    <row r="40" spans="2:14" x14ac:dyDescent="0.25">
      <c r="B40" s="54" t="s">
        <v>87</v>
      </c>
      <c r="C40" s="141">
        <f>E40+G40</f>
        <v>455774.37912379624</v>
      </c>
      <c r="D40" s="142"/>
      <c r="E40" s="150">
        <f>G25+G26+G27+G28+G29+G30+G31+G33+E18</f>
        <v>414044.37912379624</v>
      </c>
      <c r="F40" s="151"/>
      <c r="G40" s="150">
        <f>G32+G18</f>
        <v>41730</v>
      </c>
      <c r="H40" s="152"/>
      <c r="I40" s="53"/>
      <c r="J40" s="53"/>
      <c r="K40" s="55"/>
      <c r="L40" s="55"/>
    </row>
    <row r="41" spans="2:14" ht="16.5" thickBot="1" x14ac:dyDescent="0.3">
      <c r="B41" s="64" t="s">
        <v>148</v>
      </c>
      <c r="C41" s="147">
        <f>E41+G41</f>
        <v>7500</v>
      </c>
      <c r="D41" s="148"/>
      <c r="E41" s="147">
        <f>E19+300</f>
        <v>7500</v>
      </c>
      <c r="F41" s="148"/>
      <c r="G41" s="147">
        <f>G19</f>
        <v>0</v>
      </c>
      <c r="H41" s="176"/>
      <c r="I41" s="53"/>
      <c r="J41" s="53"/>
      <c r="K41" s="55"/>
      <c r="L41" s="55"/>
    </row>
    <row r="42" spans="2:14" ht="33" customHeight="1" thickBot="1" x14ac:dyDescent="0.3">
      <c r="B42" s="13" t="s">
        <v>150</v>
      </c>
      <c r="C42" s="156">
        <f>E42+G42</f>
        <v>-6974.2491237962677</v>
      </c>
      <c r="D42" s="157"/>
      <c r="E42" s="154">
        <f>E39+E41-E40</f>
        <v>-52048.719123796269</v>
      </c>
      <c r="F42" s="155"/>
      <c r="G42" s="154">
        <f>G39-G40</f>
        <v>45074.47</v>
      </c>
      <c r="H42" s="158"/>
      <c r="I42" s="53"/>
      <c r="J42" s="53"/>
      <c r="K42" s="55"/>
      <c r="L42" s="55"/>
    </row>
    <row r="43" spans="2:14" ht="34.5" customHeight="1" x14ac:dyDescent="0.25">
      <c r="B43" s="128" t="s">
        <v>88</v>
      </c>
      <c r="C43" s="149" t="s">
        <v>155</v>
      </c>
      <c r="D43" s="149"/>
      <c r="E43" s="149"/>
      <c r="F43" s="153" t="s">
        <v>14</v>
      </c>
      <c r="G43" s="153"/>
      <c r="H43" s="128"/>
      <c r="I43" s="128"/>
      <c r="J43" s="128"/>
      <c r="K43" s="2"/>
      <c r="L43" s="2"/>
      <c r="M43" s="199"/>
      <c r="N43" s="199"/>
    </row>
    <row r="44" spans="2:14" ht="11.25" customHeight="1" x14ac:dyDescent="0.25">
      <c r="B44" s="128"/>
      <c r="C44" s="128"/>
      <c r="D44" s="128"/>
      <c r="E44" s="127"/>
      <c r="F44" s="160"/>
      <c r="G44" s="160"/>
      <c r="H44" s="129"/>
      <c r="I44" s="129"/>
      <c r="J44" s="129"/>
      <c r="K44" s="2"/>
      <c r="L44" s="2"/>
      <c r="M44" s="199"/>
      <c r="N44" s="199"/>
    </row>
    <row r="45" spans="2:14" x14ac:dyDescent="0.25">
      <c r="B45" s="128" t="s">
        <v>89</v>
      </c>
      <c r="C45" s="149" t="s">
        <v>155</v>
      </c>
      <c r="D45" s="149"/>
      <c r="E45" s="149"/>
      <c r="F45" s="153" t="s">
        <v>100</v>
      </c>
      <c r="G45" s="153"/>
      <c r="H45" s="128"/>
      <c r="I45" s="128"/>
      <c r="J45" s="128"/>
      <c r="K45" s="2"/>
      <c r="L45" s="2"/>
      <c r="M45" s="199"/>
      <c r="N45" s="199"/>
    </row>
    <row r="46" spans="2:14" ht="9.75" customHeight="1" x14ac:dyDescent="0.25">
      <c r="B46" s="128"/>
      <c r="C46" s="128"/>
      <c r="D46" s="128"/>
      <c r="E46" s="127"/>
      <c r="F46" s="153"/>
      <c r="G46" s="153"/>
      <c r="H46" s="128"/>
      <c r="I46" s="128"/>
      <c r="J46" s="128"/>
    </row>
    <row r="47" spans="2:14" x14ac:dyDescent="0.25">
      <c r="B47" s="128" t="s">
        <v>90</v>
      </c>
      <c r="C47" s="149" t="s">
        <v>155</v>
      </c>
      <c r="D47" s="149"/>
      <c r="E47" s="149"/>
      <c r="F47" s="153" t="s">
        <v>114</v>
      </c>
      <c r="G47" s="153"/>
      <c r="H47" s="128"/>
      <c r="I47" s="128"/>
      <c r="J47" s="128"/>
    </row>
    <row r="48" spans="2:14" ht="8.25" customHeight="1" x14ac:dyDescent="0.25">
      <c r="B48" s="56"/>
      <c r="C48" s="56"/>
      <c r="D48" s="56"/>
      <c r="E48" s="127"/>
      <c r="F48" s="57"/>
      <c r="G48" s="58"/>
      <c r="H48" s="59"/>
      <c r="I48" s="59"/>
      <c r="J48" s="59"/>
    </row>
    <row r="49" spans="2:7" x14ac:dyDescent="0.25">
      <c r="B49" s="128" t="s">
        <v>91</v>
      </c>
      <c r="C49" s="149" t="s">
        <v>155</v>
      </c>
      <c r="D49" s="149"/>
      <c r="E49" s="149"/>
      <c r="F49" s="153" t="s">
        <v>114</v>
      </c>
      <c r="G49" s="153"/>
    </row>
    <row r="50" spans="2:7" ht="9" customHeight="1" x14ac:dyDescent="0.25">
      <c r="B50" s="60"/>
      <c r="C50" s="60"/>
      <c r="D50" s="60"/>
      <c r="E50" s="127"/>
      <c r="F50" s="159"/>
      <c r="G50" s="159"/>
    </row>
  </sheetData>
  <mergeCells count="61">
    <mergeCell ref="C43:E43"/>
    <mergeCell ref="C45:E45"/>
    <mergeCell ref="C47:E47"/>
    <mergeCell ref="C49:E49"/>
    <mergeCell ref="C20:D20"/>
    <mergeCell ref="E39:F39"/>
    <mergeCell ref="F43:G43"/>
    <mergeCell ref="F44:G44"/>
    <mergeCell ref="E42:F42"/>
    <mergeCell ref="F49:G49"/>
    <mergeCell ref="G40:H40"/>
    <mergeCell ref="C40:D40"/>
    <mergeCell ref="G17:H17"/>
    <mergeCell ref="E20:F20"/>
    <mergeCell ref="G20:H20"/>
    <mergeCell ref="E18:F18"/>
    <mergeCell ref="G18:H18"/>
    <mergeCell ref="E19:F19"/>
    <mergeCell ref="G19:H19"/>
    <mergeCell ref="B1:H1"/>
    <mergeCell ref="B2:H3"/>
    <mergeCell ref="B22:H22"/>
    <mergeCell ref="B23:B24"/>
    <mergeCell ref="C23:C24"/>
    <mergeCell ref="D23:D24"/>
    <mergeCell ref="E23:E24"/>
    <mergeCell ref="F23:G23"/>
    <mergeCell ref="H23:H24"/>
    <mergeCell ref="D5:E5"/>
    <mergeCell ref="B14:H14"/>
    <mergeCell ref="E15:F15"/>
    <mergeCell ref="G15:H15"/>
    <mergeCell ref="E16:F16"/>
    <mergeCell ref="G16:H16"/>
    <mergeCell ref="E17:F17"/>
    <mergeCell ref="F50:G50"/>
    <mergeCell ref="F45:G45"/>
    <mergeCell ref="F46:G46"/>
    <mergeCell ref="F47:G47"/>
    <mergeCell ref="C15:D15"/>
    <mergeCell ref="C16:D16"/>
    <mergeCell ref="C17:D17"/>
    <mergeCell ref="C18:D18"/>
    <mergeCell ref="C19:D19"/>
    <mergeCell ref="C41:D41"/>
    <mergeCell ref="C42:D42"/>
    <mergeCell ref="G42:H42"/>
    <mergeCell ref="E41:F41"/>
    <mergeCell ref="G41:H41"/>
    <mergeCell ref="G39:H39"/>
    <mergeCell ref="E40:F40"/>
    <mergeCell ref="M22:M23"/>
    <mergeCell ref="N22:N23"/>
    <mergeCell ref="C37:D37"/>
    <mergeCell ref="C38:D38"/>
    <mergeCell ref="C39:D39"/>
    <mergeCell ref="B36:H36"/>
    <mergeCell ref="E37:F37"/>
    <mergeCell ref="G37:H37"/>
    <mergeCell ref="E38:F38"/>
    <mergeCell ref="G38:H38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50"/>
  <sheetViews>
    <sheetView topLeftCell="A10" zoomScale="110" zoomScaleNormal="110" workbookViewId="0">
      <selection activeCell="C26" sqref="C26"/>
    </sheetView>
  </sheetViews>
  <sheetFormatPr defaultColWidth="9.140625" defaultRowHeight="15.75" outlineLevelRow="1" x14ac:dyDescent="0.25"/>
  <cols>
    <col min="1" max="1" width="2.85546875" style="3" customWidth="1"/>
    <col min="2" max="2" width="56" style="3" customWidth="1"/>
    <col min="3" max="3" width="21.42578125" style="61" customWidth="1"/>
    <col min="4" max="4" width="9.5703125" style="136" customWidth="1"/>
    <col min="5" max="5" width="10.28515625" style="136" customWidth="1"/>
    <col min="6" max="6" width="11" style="3" customWidth="1"/>
    <col min="7" max="7" width="11.28515625" style="3" customWidth="1"/>
    <col min="8" max="8" width="11" style="3" customWidth="1"/>
    <col min="9" max="9" width="10.7109375" style="3" bestFit="1" customWidth="1"/>
    <col min="10" max="12" width="9.140625" style="3"/>
    <col min="13" max="14" width="13.7109375" style="194" customWidth="1"/>
    <col min="15" max="16384" width="9.140625" style="3"/>
  </cols>
  <sheetData>
    <row r="1" spans="1:9" x14ac:dyDescent="0.25">
      <c r="B1" s="161" t="s">
        <v>116</v>
      </c>
      <c r="C1" s="161"/>
      <c r="D1" s="161"/>
      <c r="E1" s="161"/>
      <c r="F1" s="161"/>
      <c r="G1" s="161"/>
      <c r="H1" s="161"/>
    </row>
    <row r="2" spans="1:9" ht="19.5" customHeight="1" x14ac:dyDescent="0.3">
      <c r="A2" s="14"/>
      <c r="B2" s="185" t="s">
        <v>162</v>
      </c>
      <c r="C2" s="185"/>
      <c r="D2" s="185"/>
      <c r="E2" s="185"/>
      <c r="F2" s="185"/>
      <c r="G2" s="185"/>
      <c r="H2" s="185"/>
    </row>
    <row r="3" spans="1:9" ht="20.25" customHeight="1" x14ac:dyDescent="0.3">
      <c r="A3" s="14"/>
      <c r="B3" s="185"/>
      <c r="C3" s="185"/>
      <c r="D3" s="185"/>
      <c r="E3" s="185"/>
      <c r="F3" s="185"/>
      <c r="G3" s="185"/>
      <c r="H3" s="185"/>
    </row>
    <row r="4" spans="1:9" ht="15" customHeight="1" x14ac:dyDescent="0.25"/>
    <row r="5" spans="1:9" x14ac:dyDescent="0.25">
      <c r="B5" s="3" t="s">
        <v>0</v>
      </c>
      <c r="D5" s="172" t="s">
        <v>36</v>
      </c>
      <c r="E5" s="172"/>
    </row>
    <row r="6" spans="1:9" x14ac:dyDescent="0.25">
      <c r="B6" s="3" t="s">
        <v>1</v>
      </c>
      <c r="D6" s="126">
        <v>1960</v>
      </c>
      <c r="E6" s="126"/>
    </row>
    <row r="7" spans="1:9" hidden="1" outlineLevel="1" x14ac:dyDescent="0.25">
      <c r="B7" s="3" t="s">
        <v>2</v>
      </c>
      <c r="D7" s="126">
        <v>2</v>
      </c>
      <c r="E7" s="126"/>
    </row>
    <row r="8" spans="1:9" hidden="1" outlineLevel="1" x14ac:dyDescent="0.25">
      <c r="B8" s="3" t="s">
        <v>3</v>
      </c>
      <c r="D8" s="126">
        <v>16</v>
      </c>
      <c r="E8" s="126"/>
    </row>
    <row r="9" spans="1:9" ht="30.75" hidden="1" customHeight="1" outlineLevel="1" x14ac:dyDescent="0.25">
      <c r="B9" s="17" t="s">
        <v>4</v>
      </c>
      <c r="C9" s="62"/>
      <c r="D9" s="126" t="s">
        <v>37</v>
      </c>
      <c r="E9" s="126"/>
    </row>
    <row r="10" spans="1:9" collapsed="1" x14ac:dyDescent="0.25">
      <c r="B10" s="3" t="s">
        <v>5</v>
      </c>
      <c r="D10" s="126" t="s">
        <v>131</v>
      </c>
      <c r="E10" s="126"/>
      <c r="I10" s="12"/>
    </row>
    <row r="11" spans="1:9" ht="17.25" hidden="1" customHeight="1" outlineLevel="1" x14ac:dyDescent="0.25">
      <c r="B11" s="3" t="s">
        <v>6</v>
      </c>
      <c r="D11" s="126" t="s">
        <v>7</v>
      </c>
      <c r="E11" s="126"/>
    </row>
    <row r="12" spans="1:9" ht="30.75" hidden="1" customHeight="1" outlineLevel="1" x14ac:dyDescent="0.25">
      <c r="B12" s="17" t="s">
        <v>8</v>
      </c>
      <c r="C12" s="62"/>
      <c r="D12" s="138" t="s">
        <v>38</v>
      </c>
      <c r="E12" s="126"/>
      <c r="I12" s="12"/>
    </row>
    <row r="13" spans="1:9" collapsed="1" x14ac:dyDescent="0.25">
      <c r="B13" s="17"/>
      <c r="C13" s="62"/>
      <c r="D13" s="138"/>
      <c r="E13" s="126"/>
      <c r="I13" s="12"/>
    </row>
    <row r="14" spans="1:9" ht="16.5" thickBot="1" x14ac:dyDescent="0.3">
      <c r="B14" s="188" t="s">
        <v>157</v>
      </c>
      <c r="C14" s="188"/>
      <c r="D14" s="188"/>
      <c r="E14" s="188"/>
      <c r="F14" s="188"/>
      <c r="G14" s="188"/>
      <c r="H14" s="188"/>
      <c r="I14" s="12"/>
    </row>
    <row r="15" spans="1:9" ht="43.5" customHeight="1" thickBot="1" x14ac:dyDescent="0.3">
      <c r="B15" s="110" t="s">
        <v>158</v>
      </c>
      <c r="C15" s="186" t="s">
        <v>113</v>
      </c>
      <c r="D15" s="187"/>
      <c r="E15" s="181" t="s">
        <v>10</v>
      </c>
      <c r="F15" s="189"/>
      <c r="G15" s="181" t="s">
        <v>11</v>
      </c>
      <c r="H15" s="182"/>
      <c r="I15" s="12"/>
    </row>
    <row r="16" spans="1:9" x14ac:dyDescent="0.25">
      <c r="B16" s="111" t="s">
        <v>12</v>
      </c>
      <c r="C16" s="139">
        <v>505017.93999999994</v>
      </c>
      <c r="D16" s="175"/>
      <c r="E16" s="143">
        <v>357559.66</v>
      </c>
      <c r="F16" s="144"/>
      <c r="G16" s="143">
        <v>147458.28</v>
      </c>
      <c r="H16" s="145"/>
      <c r="I16" s="12"/>
    </row>
    <row r="17" spans="2:14" x14ac:dyDescent="0.25">
      <c r="B17" s="52" t="s">
        <v>13</v>
      </c>
      <c r="C17" s="141">
        <v>457670.36000000004</v>
      </c>
      <c r="D17" s="173"/>
      <c r="E17" s="141">
        <v>324300.29000000004</v>
      </c>
      <c r="F17" s="142"/>
      <c r="G17" s="141">
        <v>133370.07</v>
      </c>
      <c r="H17" s="146"/>
      <c r="I17" s="12"/>
    </row>
    <row r="18" spans="2:14" x14ac:dyDescent="0.25">
      <c r="B18" s="54" t="s">
        <v>87</v>
      </c>
      <c r="C18" s="141">
        <v>495768.25339999999</v>
      </c>
      <c r="D18" s="173"/>
      <c r="E18" s="150">
        <v>366634.25339999999</v>
      </c>
      <c r="F18" s="151"/>
      <c r="G18" s="150">
        <v>129134</v>
      </c>
      <c r="H18" s="152"/>
      <c r="I18" s="12"/>
    </row>
    <row r="19" spans="2:14" ht="16.5" thickBot="1" x14ac:dyDescent="0.3">
      <c r="B19" s="64" t="s">
        <v>148</v>
      </c>
      <c r="C19" s="147">
        <v>7200</v>
      </c>
      <c r="D19" s="174"/>
      <c r="E19" s="147">
        <v>7200</v>
      </c>
      <c r="F19" s="148"/>
      <c r="G19" s="147">
        <v>0</v>
      </c>
      <c r="H19" s="176"/>
      <c r="I19" s="12"/>
    </row>
    <row r="20" spans="2:14" ht="30" customHeight="1" thickBot="1" x14ac:dyDescent="0.3">
      <c r="B20" s="13" t="s">
        <v>149</v>
      </c>
      <c r="C20" s="156">
        <f>E20+G20</f>
        <v>-30897.893399999943</v>
      </c>
      <c r="D20" s="157"/>
      <c r="E20" s="154">
        <f>E17+E19-E18</f>
        <v>-35133.96339999995</v>
      </c>
      <c r="F20" s="155"/>
      <c r="G20" s="154">
        <f>G17-G18</f>
        <v>4236.070000000007</v>
      </c>
      <c r="H20" s="158"/>
      <c r="I20" s="12"/>
    </row>
    <row r="21" spans="2:14" x14ac:dyDescent="0.25">
      <c r="B21" s="17"/>
      <c r="C21" s="62"/>
      <c r="D21" s="138"/>
      <c r="E21" s="126"/>
      <c r="I21" s="12"/>
    </row>
    <row r="22" spans="2:14" ht="24.75" customHeight="1" thickBot="1" x14ac:dyDescent="0.3">
      <c r="B22" s="193" t="s">
        <v>163</v>
      </c>
      <c r="C22" s="193"/>
      <c r="D22" s="193"/>
      <c r="E22" s="193"/>
      <c r="F22" s="193"/>
      <c r="G22" s="193"/>
      <c r="H22" s="193"/>
      <c r="I22" s="19"/>
      <c r="J22" s="19"/>
      <c r="L22" s="12"/>
      <c r="M22" s="195" t="s">
        <v>151</v>
      </c>
      <c r="N22" s="195" t="s">
        <v>152</v>
      </c>
    </row>
    <row r="23" spans="2:14" ht="27.75" customHeight="1" x14ac:dyDescent="0.25">
      <c r="B23" s="162" t="s">
        <v>101</v>
      </c>
      <c r="C23" s="164" t="s">
        <v>102</v>
      </c>
      <c r="D23" s="164" t="s">
        <v>103</v>
      </c>
      <c r="E23" s="166" t="s">
        <v>167</v>
      </c>
      <c r="F23" s="168" t="s">
        <v>104</v>
      </c>
      <c r="G23" s="169"/>
      <c r="H23" s="170" t="s">
        <v>123</v>
      </c>
      <c r="I23" s="20"/>
      <c r="J23" s="20"/>
      <c r="L23" s="12"/>
      <c r="M23" s="196"/>
      <c r="N23" s="196"/>
    </row>
    <row r="24" spans="2:14" ht="45" customHeight="1" thickBot="1" x14ac:dyDescent="0.3">
      <c r="B24" s="163"/>
      <c r="C24" s="165"/>
      <c r="D24" s="165"/>
      <c r="E24" s="167"/>
      <c r="F24" s="21" t="s">
        <v>92</v>
      </c>
      <c r="G24" s="22" t="s">
        <v>93</v>
      </c>
      <c r="H24" s="171"/>
      <c r="I24" s="20"/>
      <c r="J24" s="20"/>
      <c r="M24" s="197">
        <v>59234.55</v>
      </c>
      <c r="N24" s="198">
        <f>59234.55*1.01</f>
        <v>59826.895500000006</v>
      </c>
    </row>
    <row r="25" spans="2:14" ht="50.25" customHeight="1" x14ac:dyDescent="0.25">
      <c r="B25" s="23" t="s">
        <v>105</v>
      </c>
      <c r="C25" s="7" t="s">
        <v>121</v>
      </c>
      <c r="D25" s="24" t="s">
        <v>107</v>
      </c>
      <c r="E25" s="25">
        <v>1.06</v>
      </c>
      <c r="F25" s="26">
        <f>$M$24/$M$25*E25</f>
        <v>6072.4006769825919</v>
      </c>
      <c r="G25" s="27">
        <f>$N$24/$N$25*E25</f>
        <v>6133.1246837524186</v>
      </c>
      <c r="H25" s="28">
        <f>F25-G25</f>
        <v>-60.724006769826701</v>
      </c>
      <c r="I25" s="29"/>
      <c r="J25" s="29"/>
      <c r="K25" s="134"/>
      <c r="L25" s="31"/>
      <c r="M25" s="198">
        <f>E34-E32</f>
        <v>10.34</v>
      </c>
      <c r="N25" s="198">
        <f>E34-E32</f>
        <v>10.34</v>
      </c>
    </row>
    <row r="26" spans="2:14" ht="56.25" x14ac:dyDescent="0.25">
      <c r="B26" s="32" t="s">
        <v>99</v>
      </c>
      <c r="C26" s="7" t="s">
        <v>121</v>
      </c>
      <c r="D26" s="24" t="s">
        <v>107</v>
      </c>
      <c r="E26" s="8">
        <v>1.19</v>
      </c>
      <c r="F26" s="26">
        <f>$M$24/$M$25*E26</f>
        <v>6817.1290618955509</v>
      </c>
      <c r="G26" s="27">
        <f>$N$24/$N$25*E26</f>
        <v>6885.3003525145077</v>
      </c>
      <c r="H26" s="28">
        <f t="shared" ref="H26:H31" si="0">F26-G26</f>
        <v>-68.171290618956846</v>
      </c>
      <c r="I26" s="29"/>
      <c r="J26" s="29"/>
      <c r="K26" s="2"/>
      <c r="L26" s="2"/>
      <c r="M26" s="199"/>
      <c r="N26" s="199"/>
    </row>
    <row r="27" spans="2:14" ht="52.5" customHeight="1" x14ac:dyDescent="0.25">
      <c r="B27" s="33" t="s">
        <v>94</v>
      </c>
      <c r="C27" s="7" t="s">
        <v>121</v>
      </c>
      <c r="D27" s="24" t="s">
        <v>107</v>
      </c>
      <c r="E27" s="8">
        <v>0.32</v>
      </c>
      <c r="F27" s="26">
        <f t="shared" ref="F27:F33" si="1">$M$24/$M$25*E27</f>
        <v>1833.1775628626692</v>
      </c>
      <c r="G27" s="27">
        <f t="shared" ref="G27:G30" si="2">$N$24/$N$25*E27</f>
        <v>1851.5093384912961</v>
      </c>
      <c r="H27" s="28">
        <f t="shared" si="0"/>
        <v>-18.331775628626929</v>
      </c>
      <c r="I27" s="29"/>
      <c r="J27" s="29"/>
      <c r="L27" s="12"/>
    </row>
    <row r="28" spans="2:14" ht="25.5" x14ac:dyDescent="0.25">
      <c r="B28" s="33" t="s">
        <v>108</v>
      </c>
      <c r="C28" s="34" t="s">
        <v>109</v>
      </c>
      <c r="D28" s="24" t="s">
        <v>107</v>
      </c>
      <c r="E28" s="8">
        <v>0.5</v>
      </c>
      <c r="F28" s="26">
        <f>($M$24/12*2)/$M$25*E28</f>
        <v>477.38999032882015</v>
      </c>
      <c r="G28" s="27">
        <f>($N$24/12*2)/$N$25*E28</f>
        <v>482.16389023210832</v>
      </c>
      <c r="H28" s="28">
        <f t="shared" si="0"/>
        <v>-4.7738999032881679</v>
      </c>
      <c r="I28" s="29"/>
      <c r="J28" s="29"/>
      <c r="L28" s="12"/>
    </row>
    <row r="29" spans="2:14" ht="51" x14ac:dyDescent="0.25">
      <c r="B29" s="32" t="s">
        <v>95</v>
      </c>
      <c r="C29" s="7" t="s">
        <v>122</v>
      </c>
      <c r="D29" s="24" t="s">
        <v>107</v>
      </c>
      <c r="E29" s="8">
        <v>1.18</v>
      </c>
      <c r="F29" s="26">
        <f t="shared" si="1"/>
        <v>6759.8422630560926</v>
      </c>
      <c r="G29" s="27">
        <f t="shared" si="2"/>
        <v>6827.4406856866544</v>
      </c>
      <c r="H29" s="28">
        <f t="shared" si="0"/>
        <v>-67.598422630561799</v>
      </c>
      <c r="I29" s="29"/>
      <c r="J29" s="29"/>
    </row>
    <row r="30" spans="2:14" ht="226.5" customHeight="1" x14ac:dyDescent="0.25">
      <c r="B30" s="32" t="s">
        <v>120</v>
      </c>
      <c r="C30" s="35" t="s">
        <v>110</v>
      </c>
      <c r="D30" s="24" t="s">
        <v>107</v>
      </c>
      <c r="E30" s="8">
        <v>5.61</v>
      </c>
      <c r="F30" s="26">
        <f t="shared" si="1"/>
        <v>32137.894148936171</v>
      </c>
      <c r="G30" s="27">
        <f t="shared" si="2"/>
        <v>32459.27309042554</v>
      </c>
      <c r="H30" s="28">
        <f t="shared" si="0"/>
        <v>-321.37894148936903</v>
      </c>
      <c r="I30" s="29"/>
      <c r="J30" s="29"/>
      <c r="K30" s="2"/>
      <c r="L30" s="1"/>
      <c r="M30" s="199"/>
      <c r="N30" s="199"/>
    </row>
    <row r="31" spans="2:14" ht="108.75" customHeight="1" x14ac:dyDescent="0.25">
      <c r="B31" s="32" t="s">
        <v>111</v>
      </c>
      <c r="C31" s="7" t="s">
        <v>121</v>
      </c>
      <c r="D31" s="24" t="s">
        <v>107</v>
      </c>
      <c r="E31" s="8">
        <v>0.19</v>
      </c>
      <c r="F31" s="26">
        <f t="shared" si="1"/>
        <v>1088.4491779497098</v>
      </c>
      <c r="G31" s="27">
        <f t="shared" ref="G31" si="3">$N$24/$N$25*E31</f>
        <v>1099.333669729207</v>
      </c>
      <c r="H31" s="28">
        <f t="shared" si="0"/>
        <v>-10.884491779497239</v>
      </c>
      <c r="I31" s="29"/>
      <c r="J31" s="29"/>
    </row>
    <row r="32" spans="2:14" ht="56.25" x14ac:dyDescent="0.25">
      <c r="B32" s="33" t="s">
        <v>112</v>
      </c>
      <c r="C32" s="7" t="s">
        <v>121</v>
      </c>
      <c r="D32" s="24" t="s">
        <v>107</v>
      </c>
      <c r="E32" s="8">
        <v>4.5599999999999996</v>
      </c>
      <c r="F32" s="26">
        <v>28254.13</v>
      </c>
      <c r="G32" s="5">
        <v>19541</v>
      </c>
      <c r="H32" s="28">
        <f>F32-G32</f>
        <v>8713.130000000001</v>
      </c>
      <c r="I32" s="29"/>
      <c r="J32" s="29"/>
      <c r="L32" s="12"/>
    </row>
    <row r="33" spans="2:14" ht="16.5" thickBot="1" x14ac:dyDescent="0.3">
      <c r="B33" s="36" t="s">
        <v>97</v>
      </c>
      <c r="C33" s="37" t="s">
        <v>110</v>
      </c>
      <c r="D33" s="38" t="s">
        <v>107</v>
      </c>
      <c r="E33" s="39">
        <f>0.01+0.28</f>
        <v>0.29000000000000004</v>
      </c>
      <c r="F33" s="26">
        <f t="shared" si="1"/>
        <v>1661.3171663442943</v>
      </c>
      <c r="G33" s="27">
        <f t="shared" ref="G33" si="4">$N$24/$N$25*E33</f>
        <v>1677.9303380077374</v>
      </c>
      <c r="H33" s="40">
        <f>F33-G33</f>
        <v>-16.613171663443154</v>
      </c>
      <c r="I33" s="29"/>
      <c r="J33" s="29"/>
    </row>
    <row r="34" spans="2:14" ht="16.5" thickBot="1" x14ac:dyDescent="0.3">
      <c r="B34" s="41" t="s">
        <v>98</v>
      </c>
      <c r="C34" s="42"/>
      <c r="D34" s="42"/>
      <c r="E34" s="43">
        <f>SUM(E25:E33)</f>
        <v>14.899999999999999</v>
      </c>
      <c r="F34" s="44">
        <f>SUM(F25:F33)</f>
        <v>85101.730048355894</v>
      </c>
      <c r="G34" s="45">
        <f>SUM(G25:G33)</f>
        <v>76957.076048839474</v>
      </c>
      <c r="H34" s="46">
        <f>SUM(H25:H33)</f>
        <v>8144.6539995164312</v>
      </c>
      <c r="I34" s="47"/>
      <c r="J34" s="47"/>
    </row>
    <row r="35" spans="2:14" x14ac:dyDescent="0.25">
      <c r="B35" s="12"/>
      <c r="C35" s="12"/>
      <c r="D35" s="12"/>
      <c r="E35" s="135"/>
      <c r="F35" s="135"/>
      <c r="G35" s="135"/>
      <c r="H35" s="136"/>
      <c r="I35" s="136"/>
      <c r="J35" s="136"/>
    </row>
    <row r="36" spans="2:14" ht="16.5" customHeight="1" thickBot="1" x14ac:dyDescent="0.3">
      <c r="B36" s="188" t="s">
        <v>165</v>
      </c>
      <c r="C36" s="188"/>
      <c r="D36" s="188"/>
      <c r="E36" s="188"/>
      <c r="F36" s="188"/>
      <c r="G36" s="188"/>
      <c r="H36" s="188"/>
      <c r="I36" s="48"/>
      <c r="J36" s="48"/>
    </row>
    <row r="37" spans="2:14" ht="44.25" customHeight="1" thickBot="1" x14ac:dyDescent="0.3">
      <c r="B37" s="110" t="s">
        <v>166</v>
      </c>
      <c r="C37" s="186" t="s">
        <v>113</v>
      </c>
      <c r="D37" s="187"/>
      <c r="E37" s="181" t="s">
        <v>10</v>
      </c>
      <c r="F37" s="189"/>
      <c r="G37" s="181" t="s">
        <v>11</v>
      </c>
      <c r="H37" s="182"/>
      <c r="I37" s="49"/>
      <c r="J37" s="49"/>
      <c r="K37" s="50"/>
      <c r="L37" s="51"/>
      <c r="M37" s="200"/>
      <c r="N37" s="200"/>
    </row>
    <row r="38" spans="2:14" x14ac:dyDescent="0.25">
      <c r="B38" s="111" t="s">
        <v>12</v>
      </c>
      <c r="C38" s="139">
        <f>E38+G38</f>
        <v>590119.67004835582</v>
      </c>
      <c r="D38" s="140"/>
      <c r="E38" s="143">
        <f>F25+F26+F27+F28+F29+F30+F31+F33+E16</f>
        <v>414407.26004835585</v>
      </c>
      <c r="F38" s="144"/>
      <c r="G38" s="143">
        <f>F32+G16</f>
        <v>175712.41</v>
      </c>
      <c r="H38" s="145"/>
      <c r="I38" s="53"/>
      <c r="J38" s="53"/>
      <c r="K38" s="9"/>
      <c r="L38" s="9"/>
      <c r="M38" s="201"/>
    </row>
    <row r="39" spans="2:14" x14ac:dyDescent="0.25">
      <c r="B39" s="52" t="s">
        <v>13</v>
      </c>
      <c r="C39" s="141">
        <f>E39+G39</f>
        <v>538460.26</v>
      </c>
      <c r="D39" s="142"/>
      <c r="E39" s="141">
        <f>E17+54699.11</f>
        <v>378999.4</v>
      </c>
      <c r="F39" s="142"/>
      <c r="G39" s="141">
        <f>G17+26090.79</f>
        <v>159460.86000000002</v>
      </c>
      <c r="H39" s="146"/>
      <c r="I39" s="53"/>
      <c r="J39" s="53"/>
      <c r="K39" s="11"/>
      <c r="L39" s="9"/>
      <c r="M39" s="201"/>
    </row>
    <row r="40" spans="2:14" x14ac:dyDescent="0.25">
      <c r="B40" s="54" t="s">
        <v>87</v>
      </c>
      <c r="C40" s="141">
        <f>E40+G40</f>
        <v>572725.32944883942</v>
      </c>
      <c r="D40" s="142"/>
      <c r="E40" s="150">
        <f>G25+G26+G27+G28+G29+G30+G31+G33+E18</f>
        <v>424050.32944883947</v>
      </c>
      <c r="F40" s="151"/>
      <c r="G40" s="150">
        <f>G32+G18</f>
        <v>148675</v>
      </c>
      <c r="H40" s="152"/>
      <c r="I40" s="53"/>
      <c r="J40" s="53"/>
      <c r="K40" s="55"/>
      <c r="L40" s="55"/>
    </row>
    <row r="41" spans="2:14" ht="16.5" thickBot="1" x14ac:dyDescent="0.3">
      <c r="B41" s="64" t="s">
        <v>148</v>
      </c>
      <c r="C41" s="147">
        <f>E41+G41</f>
        <v>7500</v>
      </c>
      <c r="D41" s="148"/>
      <c r="E41" s="147">
        <f>E19+300</f>
        <v>7500</v>
      </c>
      <c r="F41" s="148"/>
      <c r="G41" s="147">
        <f>G19</f>
        <v>0</v>
      </c>
      <c r="H41" s="176"/>
      <c r="I41" s="53"/>
      <c r="J41" s="53"/>
      <c r="K41" s="55"/>
      <c r="L41" s="55"/>
    </row>
    <row r="42" spans="2:14" ht="36.75" thickBot="1" x14ac:dyDescent="0.3">
      <c r="B42" s="13" t="s">
        <v>150</v>
      </c>
      <c r="C42" s="156">
        <f>E42+G42</f>
        <v>-26765.069448839437</v>
      </c>
      <c r="D42" s="157"/>
      <c r="E42" s="154">
        <f>E39+E41-E40</f>
        <v>-37550.929448839452</v>
      </c>
      <c r="F42" s="155"/>
      <c r="G42" s="154">
        <f>G39-G40</f>
        <v>10785.860000000015</v>
      </c>
      <c r="H42" s="158"/>
      <c r="I42" s="53"/>
      <c r="J42" s="53"/>
      <c r="K42" s="55"/>
      <c r="L42" s="55"/>
    </row>
    <row r="43" spans="2:14" ht="34.5" customHeight="1" x14ac:dyDescent="0.25">
      <c r="B43" s="128" t="s">
        <v>88</v>
      </c>
      <c r="C43" s="149" t="s">
        <v>155</v>
      </c>
      <c r="D43" s="149"/>
      <c r="E43" s="149"/>
      <c r="F43" s="153" t="s">
        <v>14</v>
      </c>
      <c r="G43" s="153"/>
      <c r="H43" s="128"/>
      <c r="I43" s="128"/>
      <c r="J43" s="128"/>
      <c r="K43" s="2"/>
      <c r="L43" s="2"/>
      <c r="M43" s="199"/>
      <c r="N43" s="199"/>
    </row>
    <row r="44" spans="2:14" ht="11.25" customHeight="1" x14ac:dyDescent="0.25">
      <c r="B44" s="128"/>
      <c r="C44" s="128"/>
      <c r="D44" s="128"/>
      <c r="E44" s="127"/>
      <c r="F44" s="160"/>
      <c r="G44" s="160"/>
      <c r="H44" s="129"/>
      <c r="I44" s="129"/>
      <c r="J44" s="129"/>
      <c r="K44" s="2"/>
      <c r="L44" s="2"/>
      <c r="M44" s="199"/>
      <c r="N44" s="199"/>
    </row>
    <row r="45" spans="2:14" x14ac:dyDescent="0.25">
      <c r="B45" s="128" t="s">
        <v>89</v>
      </c>
      <c r="C45" s="149" t="s">
        <v>155</v>
      </c>
      <c r="D45" s="149"/>
      <c r="E45" s="149"/>
      <c r="F45" s="153" t="s">
        <v>100</v>
      </c>
      <c r="G45" s="153"/>
      <c r="H45" s="128"/>
      <c r="I45" s="128"/>
      <c r="J45" s="128"/>
      <c r="K45" s="2"/>
      <c r="L45" s="2"/>
      <c r="M45" s="199"/>
      <c r="N45" s="199"/>
    </row>
    <row r="46" spans="2:14" ht="9.75" customHeight="1" x14ac:dyDescent="0.25">
      <c r="B46" s="128"/>
      <c r="C46" s="128"/>
      <c r="D46" s="128"/>
      <c r="E46" s="127"/>
      <c r="F46" s="153"/>
      <c r="G46" s="153"/>
      <c r="H46" s="128"/>
      <c r="I46" s="128"/>
      <c r="J46" s="128"/>
    </row>
    <row r="47" spans="2:14" x14ac:dyDescent="0.25">
      <c r="B47" s="128" t="s">
        <v>90</v>
      </c>
      <c r="C47" s="149" t="s">
        <v>155</v>
      </c>
      <c r="D47" s="149"/>
      <c r="E47" s="149"/>
      <c r="F47" s="153" t="s">
        <v>114</v>
      </c>
      <c r="G47" s="153"/>
      <c r="H47" s="128"/>
      <c r="I47" s="128"/>
      <c r="J47" s="128"/>
    </row>
    <row r="48" spans="2:14" ht="8.25" customHeight="1" x14ac:dyDescent="0.25">
      <c r="B48" s="56"/>
      <c r="C48" s="56"/>
      <c r="D48" s="56"/>
      <c r="E48" s="127"/>
      <c r="F48" s="57"/>
      <c r="G48" s="58"/>
      <c r="H48" s="59"/>
      <c r="I48" s="59"/>
      <c r="J48" s="59"/>
    </row>
    <row r="49" spans="2:7" x14ac:dyDescent="0.25">
      <c r="B49" s="128" t="s">
        <v>91</v>
      </c>
      <c r="C49" s="149" t="s">
        <v>155</v>
      </c>
      <c r="D49" s="149"/>
      <c r="E49" s="149"/>
      <c r="F49" s="153" t="s">
        <v>114</v>
      </c>
      <c r="G49" s="153"/>
    </row>
    <row r="50" spans="2:7" ht="9" customHeight="1" x14ac:dyDescent="0.25">
      <c r="B50" s="60"/>
      <c r="C50" s="60"/>
      <c r="D50" s="60"/>
      <c r="E50" s="127"/>
      <c r="F50" s="159"/>
      <c r="G50" s="159"/>
    </row>
  </sheetData>
  <mergeCells count="61">
    <mergeCell ref="C20:D20"/>
    <mergeCell ref="C40:D40"/>
    <mergeCell ref="G17:H17"/>
    <mergeCell ref="E20:F20"/>
    <mergeCell ref="G20:H20"/>
    <mergeCell ref="E18:F18"/>
    <mergeCell ref="G18:H18"/>
    <mergeCell ref="E19:F19"/>
    <mergeCell ref="G19:H19"/>
    <mergeCell ref="G40:H40"/>
    <mergeCell ref="B1:H1"/>
    <mergeCell ref="B2:H3"/>
    <mergeCell ref="B22:H22"/>
    <mergeCell ref="B23:B24"/>
    <mergeCell ref="C23:C24"/>
    <mergeCell ref="D23:D24"/>
    <mergeCell ref="E23:E24"/>
    <mergeCell ref="F23:G23"/>
    <mergeCell ref="H23:H24"/>
    <mergeCell ref="D5:E5"/>
    <mergeCell ref="B14:H14"/>
    <mergeCell ref="E15:F15"/>
    <mergeCell ref="G15:H15"/>
    <mergeCell ref="E16:F16"/>
    <mergeCell ref="G16:H16"/>
    <mergeCell ref="E17:F17"/>
    <mergeCell ref="C43:E43"/>
    <mergeCell ref="F47:G47"/>
    <mergeCell ref="F49:G49"/>
    <mergeCell ref="F50:G50"/>
    <mergeCell ref="F44:G44"/>
    <mergeCell ref="F45:G45"/>
    <mergeCell ref="F46:G46"/>
    <mergeCell ref="C45:E45"/>
    <mergeCell ref="C47:E47"/>
    <mergeCell ref="C49:E49"/>
    <mergeCell ref="F43:G43"/>
    <mergeCell ref="C15:D15"/>
    <mergeCell ref="C16:D16"/>
    <mergeCell ref="C17:D17"/>
    <mergeCell ref="C18:D18"/>
    <mergeCell ref="C19:D19"/>
    <mergeCell ref="M22:M23"/>
    <mergeCell ref="N22:N23"/>
    <mergeCell ref="C37:D37"/>
    <mergeCell ref="C38:D38"/>
    <mergeCell ref="C39:D39"/>
    <mergeCell ref="G39:H39"/>
    <mergeCell ref="E39:F39"/>
    <mergeCell ref="G42:H42"/>
    <mergeCell ref="B36:H36"/>
    <mergeCell ref="E37:F37"/>
    <mergeCell ref="G37:H37"/>
    <mergeCell ref="E38:F38"/>
    <mergeCell ref="G38:H38"/>
    <mergeCell ref="G41:H41"/>
    <mergeCell ref="C41:D41"/>
    <mergeCell ref="C42:D42"/>
    <mergeCell ref="E40:F40"/>
    <mergeCell ref="E42:F42"/>
    <mergeCell ref="E41:F41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вой.64</vt:lpstr>
      <vt:lpstr>вой.66</vt:lpstr>
      <vt:lpstr>коп.3</vt:lpstr>
      <vt:lpstr>коп.5</vt:lpstr>
      <vt:lpstr>коп.7</vt:lpstr>
      <vt:lpstr>коп.8</vt:lpstr>
      <vt:lpstr>коп.10</vt:lpstr>
      <vt:lpstr>коп.15</vt:lpstr>
      <vt:lpstr>коп.17</vt:lpstr>
      <vt:lpstr>коп.19</vt:lpstr>
      <vt:lpstr>коп.23</vt:lpstr>
      <vt:lpstr>коп.25</vt:lpstr>
      <vt:lpstr>лин.23</vt:lpstr>
      <vt:lpstr>лин.25</vt:lpstr>
      <vt:lpstr>лин.27</vt:lpstr>
      <vt:lpstr>лин.30</vt:lpstr>
      <vt:lpstr>маг.4</vt:lpstr>
      <vt:lpstr>маг.6</vt:lpstr>
      <vt:lpstr>мар.рас.16</vt:lpstr>
      <vt:lpstr>мар.рас.22</vt:lpstr>
      <vt:lpstr>перс.1</vt:lpstr>
      <vt:lpstr>перс.3</vt:lpstr>
      <vt:lpstr>фест.4</vt:lpstr>
      <vt:lpstr>фест.8</vt:lpstr>
      <vt:lpstr>фест.10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2020-05-04T18:34:54Z</dcterms:modified>
</cp:coreProperties>
</file>